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NARGIS\Замимахо 2022\"/>
    </mc:Choice>
  </mc:AlternateContent>
  <bookViews>
    <workbookView xWindow="0" yWindow="0" windowWidth="28800" windowHeight="12495"/>
  </bookViews>
  <sheets>
    <sheet name="Замима ба ҲҶТ тоҷикӣ (2)" sheetId="19" r:id="rId1"/>
  </sheets>
  <definedNames>
    <definedName name="_xlnm.Print_Titles" localSheetId="0">'Замима ба ҲҶТ тоҷикӣ (2)'!$3:$4</definedName>
  </definedNames>
  <calcPr calcId="162913" iterate="1" iterateCount="1000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14" i="19" l="1"/>
  <c r="J98" i="19"/>
  <c r="H98" i="19"/>
  <c r="I98" i="19" s="1"/>
  <c r="F98" i="19"/>
  <c r="G98" i="19" s="1"/>
  <c r="D98" i="19"/>
  <c r="K113" i="19"/>
  <c r="K114" i="19"/>
  <c r="K115" i="19"/>
  <c r="K116" i="19"/>
  <c r="K117" i="19"/>
  <c r="K118" i="19"/>
  <c r="K119" i="19"/>
  <c r="K120" i="19"/>
  <c r="K121" i="19"/>
  <c r="K122" i="19"/>
  <c r="K123" i="19"/>
  <c r="K124" i="19"/>
  <c r="K125" i="19"/>
  <c r="K126" i="19"/>
  <c r="K127" i="19"/>
  <c r="K112" i="19"/>
  <c r="I113" i="19"/>
  <c r="I114" i="19"/>
  <c r="I115" i="19"/>
  <c r="I116" i="19"/>
  <c r="I117" i="19"/>
  <c r="I118" i="19"/>
  <c r="I119" i="19"/>
  <c r="I120" i="19"/>
  <c r="I121" i="19"/>
  <c r="I122" i="19"/>
  <c r="I123" i="19"/>
  <c r="I124" i="19"/>
  <c r="I125" i="19"/>
  <c r="I126" i="19"/>
  <c r="I127" i="19"/>
  <c r="I112" i="19"/>
  <c r="G113" i="19"/>
  <c r="G114" i="19"/>
  <c r="G115" i="19"/>
  <c r="G116" i="19"/>
  <c r="G117" i="19"/>
  <c r="G118" i="19"/>
  <c r="G119" i="19"/>
  <c r="G120" i="19"/>
  <c r="G121" i="19"/>
  <c r="G122" i="19"/>
  <c r="G123" i="19"/>
  <c r="G124" i="19"/>
  <c r="G125" i="19"/>
  <c r="G126" i="19"/>
  <c r="G127" i="19"/>
  <c r="G112" i="19"/>
  <c r="K93" i="19"/>
  <c r="K94" i="19"/>
  <c r="K95" i="19"/>
  <c r="K96" i="19"/>
  <c r="K97" i="19"/>
  <c r="K98" i="19"/>
  <c r="K99" i="19"/>
  <c r="K100" i="19"/>
  <c r="K101" i="19"/>
  <c r="K102" i="19"/>
  <c r="K103" i="19"/>
  <c r="K104" i="19"/>
  <c r="K105" i="19"/>
  <c r="K106" i="19"/>
  <c r="K107" i="19"/>
  <c r="K108" i="19"/>
  <c r="K109" i="19"/>
  <c r="K110" i="19"/>
  <c r="K92" i="19"/>
  <c r="I93" i="19"/>
  <c r="I94" i="19"/>
  <c r="I95" i="19"/>
  <c r="I96" i="19"/>
  <c r="I97" i="19"/>
  <c r="I99" i="19"/>
  <c r="I100" i="19"/>
  <c r="I101" i="19"/>
  <c r="I102" i="19"/>
  <c r="I103" i="19"/>
  <c r="I104" i="19"/>
  <c r="I105" i="19"/>
  <c r="I106" i="19"/>
  <c r="I107" i="19"/>
  <c r="I108" i="19"/>
  <c r="I109" i="19"/>
  <c r="I110" i="19"/>
  <c r="I92" i="19"/>
  <c r="G93" i="19"/>
  <c r="G94" i="19"/>
  <c r="G95" i="19"/>
  <c r="G96" i="19"/>
  <c r="G97" i="19"/>
  <c r="G99" i="19"/>
  <c r="G100" i="19"/>
  <c r="G101" i="19"/>
  <c r="G102" i="19"/>
  <c r="G103" i="19"/>
  <c r="G104" i="19"/>
  <c r="G105" i="19"/>
  <c r="G106" i="19"/>
  <c r="G107" i="19"/>
  <c r="G108" i="19"/>
  <c r="G109" i="19"/>
  <c r="G110" i="19"/>
  <c r="G92" i="19"/>
  <c r="G85" i="19"/>
  <c r="E85" i="19"/>
  <c r="E84" i="19"/>
  <c r="I83" i="19"/>
  <c r="E83" i="19"/>
  <c r="G83" i="19"/>
  <c r="E82" i="19"/>
  <c r="K81" i="19"/>
  <c r="I81" i="19"/>
  <c r="G81" i="19"/>
  <c r="E81" i="19"/>
  <c r="E80" i="19"/>
  <c r="K79" i="19"/>
  <c r="E79" i="19"/>
  <c r="G79" i="19"/>
  <c r="G77" i="19"/>
  <c r="E77" i="19"/>
  <c r="E76" i="19"/>
  <c r="I75" i="19"/>
  <c r="E75" i="19"/>
  <c r="E74" i="19"/>
  <c r="I73" i="19"/>
  <c r="E73" i="19"/>
  <c r="E72" i="19"/>
  <c r="G71" i="19"/>
  <c r="E71" i="19"/>
  <c r="E70" i="19"/>
  <c r="E69" i="19"/>
  <c r="G69" i="19"/>
  <c r="E68" i="19"/>
  <c r="I67" i="19"/>
  <c r="E67" i="19"/>
  <c r="E66" i="19"/>
  <c r="K65" i="19"/>
  <c r="I65" i="19"/>
  <c r="E65" i="19"/>
  <c r="G65" i="19"/>
  <c r="E64" i="19"/>
  <c r="E63" i="19"/>
  <c r="G63" i="19"/>
  <c r="E62" i="19"/>
  <c r="K61" i="19"/>
  <c r="E61" i="19"/>
  <c r="E60" i="19"/>
  <c r="K59" i="19"/>
  <c r="G59" i="19"/>
  <c r="E59" i="19"/>
  <c r="E58" i="19"/>
  <c r="K85" i="19"/>
  <c r="K55" i="19"/>
  <c r="K58" i="19"/>
  <c r="K60" i="19"/>
  <c r="K62" i="19"/>
  <c r="K63" i="19"/>
  <c r="K64" i="19"/>
  <c r="K66" i="19"/>
  <c r="K67" i="19"/>
  <c r="K68" i="19"/>
  <c r="K70" i="19"/>
  <c r="K71" i="19"/>
  <c r="K72" i="19"/>
  <c r="K73" i="19"/>
  <c r="K74" i="19"/>
  <c r="K75" i="19"/>
  <c r="K76" i="19"/>
  <c r="K77" i="19"/>
  <c r="K78" i="19"/>
  <c r="K80" i="19"/>
  <c r="K82" i="19"/>
  <c r="K83" i="19"/>
  <c r="K84" i="19"/>
  <c r="I58" i="19"/>
  <c r="I59" i="19"/>
  <c r="I60" i="19"/>
  <c r="I61" i="19"/>
  <c r="I62" i="19"/>
  <c r="I63" i="19"/>
  <c r="I64" i="19"/>
  <c r="I66" i="19"/>
  <c r="I68" i="19"/>
  <c r="I69" i="19"/>
  <c r="I70" i="19"/>
  <c r="I71" i="19"/>
  <c r="I72" i="19"/>
  <c r="I74" i="19"/>
  <c r="I76" i="19"/>
  <c r="I77" i="19"/>
  <c r="I78" i="19"/>
  <c r="I79" i="19"/>
  <c r="I80" i="19"/>
  <c r="I82" i="19"/>
  <c r="I84" i="19"/>
  <c r="I85" i="19"/>
  <c r="G58" i="19"/>
  <c r="G60" i="19"/>
  <c r="G61" i="19"/>
  <c r="G62" i="19"/>
  <c r="G64" i="19"/>
  <c r="G66" i="19"/>
  <c r="G67" i="19"/>
  <c r="G68" i="19"/>
  <c r="G70" i="19"/>
  <c r="G72" i="19"/>
  <c r="G73" i="19"/>
  <c r="G74" i="19"/>
  <c r="G76" i="19"/>
  <c r="G78" i="19"/>
  <c r="G80" i="19"/>
  <c r="G82" i="19"/>
  <c r="G84" i="19"/>
  <c r="J55" i="19"/>
  <c r="H55" i="19"/>
  <c r="I55" i="19" s="1"/>
  <c r="F55" i="19"/>
  <c r="G55" i="19" s="1"/>
  <c r="D55" i="19"/>
  <c r="E55" i="19" s="1"/>
  <c r="K54" i="19"/>
  <c r="I54" i="19"/>
  <c r="G54" i="19"/>
  <c r="E54" i="19"/>
  <c r="G52" i="19"/>
  <c r="E52" i="19"/>
  <c r="E51" i="19"/>
  <c r="E50" i="19"/>
  <c r="G50" i="19"/>
  <c r="E49" i="19"/>
  <c r="K48" i="19"/>
  <c r="E48" i="19"/>
  <c r="E47" i="19"/>
  <c r="K46" i="19"/>
  <c r="I46" i="19"/>
  <c r="E46" i="19"/>
  <c r="E45" i="19"/>
  <c r="E44" i="19"/>
  <c r="E43" i="19"/>
  <c r="G44" i="19"/>
  <c r="K42" i="19"/>
  <c r="E42" i="19"/>
  <c r="E41" i="19"/>
  <c r="K32" i="19"/>
  <c r="I32" i="19"/>
  <c r="E32" i="19"/>
  <c r="E33" i="19"/>
  <c r="K34" i="19"/>
  <c r="I34" i="19"/>
  <c r="E34" i="19"/>
  <c r="G33" i="19"/>
  <c r="I38" i="19"/>
  <c r="E37" i="19"/>
  <c r="E39" i="19"/>
  <c r="K39" i="19"/>
  <c r="I39" i="19"/>
  <c r="G39" i="19"/>
  <c r="G38" i="19"/>
  <c r="E36" i="19"/>
  <c r="E30" i="19"/>
  <c r="K36" i="19"/>
  <c r="E35" i="19"/>
  <c r="K30" i="19"/>
  <c r="K31" i="19"/>
  <c r="K33" i="19"/>
  <c r="K35" i="19"/>
  <c r="K37" i="19"/>
  <c r="K38" i="19"/>
  <c r="K40" i="19"/>
  <c r="K41" i="19"/>
  <c r="K43" i="19"/>
  <c r="K44" i="19"/>
  <c r="K45" i="19"/>
  <c r="K47" i="19"/>
  <c r="K49" i="19"/>
  <c r="K50" i="19"/>
  <c r="K51" i="19"/>
  <c r="K52" i="19"/>
  <c r="I30" i="19"/>
  <c r="I31" i="19"/>
  <c r="I33" i="19"/>
  <c r="I35" i="19"/>
  <c r="I36" i="19"/>
  <c r="I37" i="19"/>
  <c r="I40" i="19"/>
  <c r="I41" i="19"/>
  <c r="I42" i="19"/>
  <c r="I43" i="19"/>
  <c r="I44" i="19"/>
  <c r="I45" i="19"/>
  <c r="I47" i="19"/>
  <c r="I48" i="19"/>
  <c r="I49" i="19"/>
  <c r="I50" i="19"/>
  <c r="I51" i="19"/>
  <c r="I52" i="19"/>
  <c r="G30" i="19"/>
  <c r="G31" i="19"/>
  <c r="G34" i="19"/>
  <c r="G35" i="19"/>
  <c r="G36" i="19"/>
  <c r="G37" i="19"/>
  <c r="G40" i="19"/>
  <c r="G41" i="19"/>
  <c r="G42" i="19"/>
  <c r="G43" i="19"/>
  <c r="G45" i="19"/>
  <c r="G46" i="19"/>
  <c r="G47" i="19"/>
  <c r="G48" i="19"/>
  <c r="G49" i="19"/>
  <c r="G51" i="19"/>
  <c r="K29" i="19"/>
  <c r="I29" i="19"/>
  <c r="G29" i="19"/>
  <c r="E29" i="19"/>
  <c r="J26" i="19"/>
  <c r="K26" i="19" s="1"/>
  <c r="H26" i="19"/>
  <c r="I26" i="19" s="1"/>
  <c r="F27" i="19"/>
  <c r="F26" i="19"/>
  <c r="D26" i="19"/>
  <c r="G26" i="19" s="1"/>
  <c r="K25" i="19"/>
  <c r="I25" i="19"/>
  <c r="G25" i="19"/>
  <c r="E25" i="19"/>
  <c r="K146" i="19"/>
  <c r="I146" i="19"/>
  <c r="G146" i="19"/>
  <c r="E146" i="19"/>
  <c r="E95" i="19"/>
  <c r="E98" i="19"/>
  <c r="E78" i="19"/>
  <c r="E31" i="19"/>
  <c r="G32" i="19"/>
  <c r="J27" i="19"/>
  <c r="G75" i="19"/>
  <c r="K69" i="19"/>
  <c r="H27" i="19" l="1"/>
  <c r="D27" i="19"/>
  <c r="E27" i="19" s="1"/>
  <c r="E26" i="19"/>
  <c r="I27" i="19" l="1"/>
  <c r="K27" i="19"/>
  <c r="G27" i="19"/>
</calcChain>
</file>

<file path=xl/sharedStrings.xml><?xml version="1.0" encoding="utf-8"?>
<sst xmlns="http://schemas.openxmlformats.org/spreadsheetml/2006/main" count="371" uniqueCount="246">
  <si>
    <t>Нишондињандањо</t>
  </si>
  <si>
    <t>Воњиди
 ченак</t>
  </si>
  <si>
    <t>Истењсоли муњимтарин намудњои мањсулоти саноатї</t>
  </si>
  <si>
    <t>Ангишт</t>
  </si>
  <si>
    <t>њазор тонна</t>
  </si>
  <si>
    <t>Алюминийи аввалия</t>
  </si>
  <si>
    <t>Семент</t>
  </si>
  <si>
    <t xml:space="preserve">Нахи пахта </t>
  </si>
  <si>
    <t>Консерваи меваю сабзавот</t>
  </si>
  <si>
    <t>Истењсоли намудњои асосии мањсулоти кишоварзї</t>
  </si>
  <si>
    <t>Пахта</t>
  </si>
  <si>
    <t>Картошка</t>
  </si>
  <si>
    <t>Шир</t>
  </si>
  <si>
    <t>Намудњои асосии захирањои содиротї</t>
  </si>
  <si>
    <t>Мањсулоти меваю сабзавот</t>
  </si>
  <si>
    <t>Намудњои асосии захирањои воридотї</t>
  </si>
  <si>
    <t>Гилхок</t>
  </si>
  <si>
    <t>Гази табиї</t>
  </si>
  <si>
    <t>Гандум</t>
  </si>
  <si>
    <t>Орд</t>
  </si>
  <si>
    <t>Индекс-дефлятори ММД</t>
  </si>
  <si>
    <t>сомонї</t>
  </si>
  <si>
    <t>Тухм</t>
  </si>
  <si>
    <r>
      <rPr>
        <sz val="8"/>
        <color indexed="8"/>
        <rFont val="Times New Roman Tj"/>
        <family val="1"/>
        <charset val="204"/>
      </rPr>
      <t>Њ</t>
    </r>
    <r>
      <rPr>
        <sz val="12"/>
        <color indexed="8"/>
        <rFont val="Times New Roman Tj"/>
        <family val="1"/>
        <charset val="204"/>
      </rPr>
      <t>азор нафар</t>
    </r>
  </si>
  <si>
    <t>Дурнамо</t>
  </si>
  <si>
    <t xml:space="preserve">бо фоиз </t>
  </si>
  <si>
    <t>нисбат ба соли 2021 (бо фоиз)</t>
  </si>
  <si>
    <t>нисбат ба соли 2022 (бо фоиз)</t>
  </si>
  <si>
    <t>нисбат ба соли 2023 (бо фоиз)</t>
  </si>
  <si>
    <t>Саноат</t>
  </si>
  <si>
    <t>Њаљми мањсулоти саноатї бо нархњои дурнамои солњои дахлдор</t>
  </si>
  <si>
    <t>Кишоварзї</t>
  </si>
  <si>
    <t>Наќлиёт</t>
  </si>
  <si>
    <t>Њаљми боркашонї тавассути њамаи намудњои наќлиёт</t>
  </si>
  <si>
    <t>Мусофиркашонї тавассути њамаи намудњои наќлиёт</t>
  </si>
  <si>
    <t>Бозори истеъмолї</t>
  </si>
  <si>
    <t>млн сомонї</t>
  </si>
  <si>
    <t>Ҳаљми умумии хизматрасонии пулакї бо нархњои дурнамои солњои дахлдор</t>
  </si>
  <si>
    <t>Фаъолияти иќтисодии хориљї</t>
  </si>
  <si>
    <t>млн доллар</t>
  </si>
  <si>
    <t>Маъданњо ва консентратњо</t>
  </si>
  <si>
    <t>Мањсулоти љўроббофї</t>
  </si>
  <si>
    <t>Калобаи пахтагин</t>
  </si>
  <si>
    <t>Матоъњои пахтагини тайёр</t>
  </si>
  <si>
    <t>млн кВт/с</t>
  </si>
  <si>
    <t>Чӯбу тахта ва маснуот аз он</t>
  </si>
  <si>
    <t>Мањсулоти ќаннодї</t>
  </si>
  <si>
    <t xml:space="preserve">Мањсулоти макаронї </t>
  </si>
  <si>
    <t>Гӯшт ва маҳсулоти гӯштӣ</t>
  </si>
  <si>
    <t>Шир ва маҳсулоти ширӣ</t>
  </si>
  <si>
    <t>Гази моеъ</t>
  </si>
  <si>
    <t>Шакар</t>
  </si>
  <si>
    <t>Нурињои минералї</t>
  </si>
  <si>
    <r>
      <t>млн м</t>
    </r>
    <r>
      <rPr>
        <vertAlign val="superscript"/>
        <sz val="13.5"/>
        <color indexed="8"/>
        <rFont val="Times New Roman Tj"/>
        <family val="1"/>
        <charset val="204"/>
      </rPr>
      <t>3</t>
    </r>
  </si>
  <si>
    <t>Фаъолияти сармоягузорї</t>
  </si>
  <si>
    <t>р/т</t>
  </si>
  <si>
    <t>Маблаѓгузорї ба сармояи асосї аз њисоби њамаи манбаъњои маблаѓгузорї</t>
  </si>
  <si>
    <t>Нафт</t>
  </si>
  <si>
    <t>Матоъњои тайёри пахтагин</t>
  </si>
  <si>
    <t>Равѓани растанї</t>
  </si>
  <si>
    <t>Мањсулоти макаронї</t>
  </si>
  <si>
    <t>Гўшт ва каллапочаи навъи якум</t>
  </si>
  <si>
    <t>Мањсулоти шири холис</t>
  </si>
  <si>
    <t>Либосњои мактабї</t>
  </si>
  <si>
    <t>њазор  м3</t>
  </si>
  <si>
    <t>њазор  м2</t>
  </si>
  <si>
    <t>њазор дона</t>
  </si>
  <si>
    <t>Полезии хўрокворї</t>
  </si>
  <si>
    <t>Гўшти чорво ва паранда (бо вазни зинда)</t>
  </si>
  <si>
    <t>Моњї</t>
  </si>
  <si>
    <t>Асал</t>
  </si>
  <si>
    <t>Пилла</t>
  </si>
  <si>
    <t>тонна</t>
  </si>
  <si>
    <t>млн дона</t>
  </si>
  <si>
    <t>Ќабули донишљўён ба муассисањои тањсилоти олии касбии давлатњои хориљї</t>
  </si>
  <si>
    <t>Ќабули донишљўён ба муассисањои тањсилоти миёнаи касбї</t>
  </si>
  <si>
    <t>Ќабули донишљўён ба муассисањои тањсилоти ибтидоии касбї</t>
  </si>
  <si>
    <t>Маблаѓгузорї барои гузаронидани корњои илмию тањќиќотї ва таљрибавию конструкторї аз њисоби маблаѓњои буљети давлатї</t>
  </si>
  <si>
    <t>Захирањои мењнатї</t>
  </si>
  <si>
    <t>Ањолии ба кор машѓул</t>
  </si>
  <si>
    <t>Шумораи љойњои нави кории ташкилшаванда</t>
  </si>
  <si>
    <t>Маљмўи мањсулоти дохилї (ММД) бо нархњои дурнамои солњои дахлдор</t>
  </si>
  <si>
    <t>аз он љумла:                                         гардиши савдои чакана</t>
  </si>
  <si>
    <t>аз он љумла:                                         хизматрасонињои пулакї ба ањолї</t>
  </si>
  <si>
    <t>аз он љумла:                                                                         хушкмева</t>
  </si>
  <si>
    <t>Мањсулоти нафтї                                                      аз он љумла:</t>
  </si>
  <si>
    <t>бензин</t>
  </si>
  <si>
    <t>сўзишвории дизелї</t>
  </si>
  <si>
    <t>Калобаи (ресмони) пахтагин</t>
  </si>
  <si>
    <t xml:space="preserve">Сабзавот </t>
  </si>
  <si>
    <t>аз он љумла:                                                                                       пиёз</t>
  </si>
  <si>
    <t>Мевагї</t>
  </si>
  <si>
    <t>нафар</t>
  </si>
  <si>
    <t>адад</t>
  </si>
  <si>
    <t>млн сомонӣ</t>
  </si>
  <si>
    <t>ҳазор нафар</t>
  </si>
  <si>
    <t>млн
мусофир</t>
  </si>
  <si>
    <t>Параметрњои дурнамо</t>
  </si>
  <si>
    <t>Дурнамои соли 2023</t>
  </si>
  <si>
    <t>Дурнамои соли 2024</t>
  </si>
  <si>
    <t>Индекси нархњои истеъмолї (сатњи таваррум)*</t>
  </si>
  <si>
    <t>пиёз</t>
  </si>
  <si>
    <t>млн ќуттии шартї</t>
  </si>
  <si>
    <t>Қолинҳо ва маснуоти қолин</t>
  </si>
  <si>
    <t>Пойафзол</t>
  </si>
  <si>
    <t>њазор ҷуфт</t>
  </si>
  <si>
    <t>Нахи пахта</t>
  </si>
  <si>
    <t>Шуғли аҳолӣ</t>
  </si>
  <si>
    <t>млн  тонна</t>
  </si>
  <si>
    <t>аз љумла:                                                                                      гандум</t>
  </si>
  <si>
    <t xml:space="preserve"> - воридот</t>
  </si>
  <si>
    <t>ММД ба њар сари ањолї</t>
  </si>
  <si>
    <t xml:space="preserve">Гардиши савдои хориљї - ҳамагӣ </t>
  </si>
  <si>
    <t>Равғани растанӣ ва чарбуҳо</t>
  </si>
  <si>
    <t>аз љумла:                                              - содирот</t>
  </si>
  <si>
    <t>Ѓалладонагиҳо</t>
  </si>
  <si>
    <t>*</t>
  </si>
  <si>
    <t>меваҳои тару тоза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</si>
  <si>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</si>
  <si>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</si>
  <si>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</si>
  <si>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</si>
  <si>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</si>
  <si>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</si>
  <si>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</si>
  <si>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</si>
  <si>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</si>
  <si>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</si>
  <si>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</si>
  <si>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</si>
  <si>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</si>
  <si>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</si>
  <si>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</si>
  <si>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</si>
  <si>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</si>
  <si>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</si>
  <si>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</si>
  <si>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</si>
  <si>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</si>
  <si>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</si>
  <si>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</si>
  <si>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</si>
  <si>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</si>
  <si>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</si>
  <si>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</si>
  <si>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</si>
  <si>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</si>
  <si>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</si>
  <si>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</si>
  <si>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</si>
  <si>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</si>
  <si>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</si>
  <si>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</si>
  <si>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</si>
  <si>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</si>
  <si>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</si>
  <si>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</si>
  <si>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</si>
  <si>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</si>
  <si>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</si>
  <si>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</si>
  <si>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</si>
  <si>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</si>
  <si>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</si>
  <si>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</si>
  <si>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</si>
  <si>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</si>
  <si>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</si>
  <si>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</si>
  <si>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</si>
  <si>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</si>
  <si>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</si>
  <si>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</si>
  <si>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</si>
  <si>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</si>
  <si>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</si>
  <si>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</si>
  <si>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</si>
  <si>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</si>
  <si>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</si>
  <si>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</si>
  <si>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</si>
  <si>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</si>
  <si>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</si>
  <si>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</si>
  <si>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</si>
  <si>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</si>
  <si>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</si>
  <si>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</si>
  <si>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</si>
  <si>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</si>
  <si>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</si>
  <si>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</si>
  <si>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</si>
  <si>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</si>
  <si>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</si>
  <si>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</si>
  <si>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</si>
  <si>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</si>
  <si>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</si>
  <si>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</si>
  <si>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</si>
  <si>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</si>
  <si>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</si>
  <si>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</si>
  <si>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</si>
  <si>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</si>
  <si>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</si>
  <si>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</si>
  <si>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</si>
  <si>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</si>
  <si>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</si>
  <si>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</si>
  <si>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Њаљми умумии гардиши савдои дохилӣ бо нархњои дурнамои солњои дахлдор</t>
  </si>
  <si>
    <t xml:space="preserve">ҳазор љой </t>
  </si>
  <si>
    <t>Сармоягузорињои хориљӣ                                                                          (қарз, грант, мустақим)</t>
  </si>
  <si>
    <t>Неруи барќ</t>
  </si>
  <si>
    <t>БОБИ 2. НИШОНДИҲАНДАҲОИ АСОСИИ РУШДИ СОҲАҲОИ ИҚТИСОДИЁТ</t>
  </si>
  <si>
    <t>БОБИ 3. НИШОНДИҲАНДАҲОИ РУШДИ СОҲАИ ИҶТИМОӢ</t>
  </si>
  <si>
    <t>Шумораи ањолии доимӣ 
(ба њисоби миёнаи  солона)</t>
  </si>
  <si>
    <t>аз љумла гӯшти паранда</t>
  </si>
  <si>
    <t>Ангур</t>
  </si>
  <si>
    <t>Њаљми мањсулоти умумии кишоварзї бо нархњои дурнамои солњои дахлдор</t>
  </si>
  <si>
    <t xml:space="preserve">*-нишондиҳандаҳои мазкур интишор карда намешаванд.                                                                                                                                                                                   </t>
  </si>
  <si>
    <t>Соли 2022</t>
  </si>
  <si>
    <t>Дурнамои соли 2025</t>
  </si>
  <si>
    <t>нисбат ба соли 2024 (бо фоиз)</t>
  </si>
  <si>
    <t>Ќабули докторон аз рўи ихтисос (PhD) ба муассисањои тањсилоти олии касбї ва илмии љумњурї</t>
  </si>
  <si>
    <t>Дурнамои нишондиҳандаҳои асосии макроиќтисодии Љумҳурии Тољикистон                                                                                                                                                                               барои солҳои 2023-2025</t>
  </si>
  <si>
    <t>96.</t>
  </si>
  <si>
    <t>97.</t>
  </si>
  <si>
    <t>98.</t>
  </si>
  <si>
    <t>99.</t>
  </si>
  <si>
    <t>100.</t>
  </si>
  <si>
    <t>Бањодињӣ</t>
  </si>
  <si>
    <t>Шумораи муассисањои тандурустӣ</t>
  </si>
  <si>
    <t>аз љумла аз њисоби буљети давлатӣ</t>
  </si>
  <si>
    <t>Ќабули магистрон ба муассисањои тањсилоти олии касбї ва илмии љумњурӣ</t>
  </si>
  <si>
    <t>аз љумла аз њисоби маблаѓњои буљети давлатӣ</t>
  </si>
  <si>
    <t>аз љумла аз њисоби маблаѓњои буљети давлатӣ (Дурахшандагон)</t>
  </si>
  <si>
    <t>Ќабули донишљўён ба муассисањои тањсилоти олии касбї аз њисоби њамаи манбаъњои маблаѓгузорӣ</t>
  </si>
  <si>
    <t xml:space="preserve">Какао ва маҳсулот аз он </t>
  </si>
  <si>
    <t>БОБИ 1. НИШОНДИҲАНДАҲОИ АСОСИИ МАКРОИҚТИСОДӢ</t>
  </si>
  <si>
    <t>Ќурби расмии як доллари ИМА нисбат ба сомонӣ (миёнасолона)*</t>
  </si>
  <si>
    <t>аз љумла
аз њисоби маблаѓњои буљети давлатї</t>
  </si>
  <si>
    <t>Замима
ба ќарори Њукумати
Љумњурии Тољикистон
аз «29» июли соли 2022, № 370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</si>
</sst>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1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 Tj"/>
      <family val="1"/>
      <charset val="204"/>
    </font>
    <font>
      <sz val="14"/>
      <name val="Times New Roman Tj"/>
      <family val="1"/>
      <charset val="204"/>
    </font>
    <font>
      <sz val="8"/>
      <color indexed="8"/>
      <name val="Times New Roman Tj"/>
      <family val="1"/>
      <charset val="204"/>
    </font>
    <font>
      <vertAlign val="superscript"/>
      <sz val="13.5"/>
      <color indexed="8"/>
      <name val="Times New Roman Tj"/>
      <family val="1"/>
      <charset val="204"/>
    </font>
    <font>
      <sz val="18"/>
      <name val="Times New Roman Tj"/>
      <family val="1"/>
      <charset val="204"/>
    </font>
    <font>
      <sz val="13.5"/>
      <name val="Times New Roman Tj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 Tj"/>
      <family val="1"/>
      <charset val="204"/>
    </font>
    <font>
      <sz val="12"/>
      <color theme="1"/>
      <name val="Times New Roman Tj"/>
      <family val="1"/>
      <charset val="204"/>
    </font>
    <font>
      <sz val="12"/>
      <color rgb="FF191919"/>
      <name val="Times New Roman Tj"/>
      <family val="1"/>
      <charset val="204"/>
    </font>
    <font>
      <sz val="14"/>
      <color rgb="FF191919"/>
      <name val="Times New Roman Tj"/>
      <family val="1"/>
      <charset val="204"/>
    </font>
    <font>
      <sz val="13.5"/>
      <color rgb="FF000000"/>
      <name val="Times New Roman Tj"/>
      <family val="1"/>
      <charset val="204"/>
    </font>
    <font>
      <sz val="13.5"/>
      <color theme="1"/>
      <name val="Times New Roman Tj"/>
      <family val="1"/>
      <charset val="204"/>
    </font>
    <font>
      <b/>
      <sz val="12"/>
      <color theme="1"/>
      <name val="Times New Roman Tj"/>
      <family val="1"/>
      <charset val="204"/>
    </font>
    <font>
      <sz val="18"/>
      <color theme="1"/>
      <name val="Times New Roman Tj"/>
      <family val="1"/>
      <charset val="204"/>
    </font>
    <font>
      <sz val="18"/>
      <color rgb="FF191919"/>
      <name val="Times New Roman Tj"/>
      <family val="1"/>
      <charset val="204"/>
    </font>
    <font>
      <b/>
      <sz val="14"/>
      <color theme="1"/>
      <name val="Times New Roman Tj"/>
      <family val="1"/>
      <charset val="204"/>
    </font>
    <font>
      <sz val="18"/>
      <color rgb="FF000000"/>
      <name val="Times New Roman Tj"/>
      <family val="1"/>
      <charset val="204"/>
    </font>
    <font>
      <b/>
      <sz val="18"/>
      <color theme="1"/>
      <name val="Times New Roman Tj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9" fontId="7" fillId="0" borderId="0" applyFont="0" applyFill="0" applyBorder="0" applyAlignment="0" applyProtection="0"/>
  </cellStyleXfs>
  <cellXfs count="102">
    <xf numFmtId="0" fontId="0" fillId="0" borderId="0" xfId="0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64" fontId="12" fillId="2" borderId="1" xfId="0" applyNumberFormat="1" applyFont="1" applyFill="1" applyBorder="1" applyAlignment="1">
      <alignment horizontal="center" vertical="center"/>
    </xf>
    <xf numFmtId="164" fontId="12" fillId="2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/>
    </xf>
    <xf numFmtId="2" fontId="12" fillId="2" borderId="1" xfId="0" applyNumberFormat="1" applyFont="1" applyFill="1" applyBorder="1" applyAlignment="1">
      <alignment horizontal="center" vertical="center" wrapText="1"/>
    </xf>
    <xf numFmtId="2" fontId="12" fillId="2" borderId="1" xfId="0" applyNumberFormat="1" applyFont="1" applyFill="1" applyBorder="1" applyAlignment="1">
      <alignment horizontal="center" vertical="center"/>
    </xf>
    <xf numFmtId="164" fontId="9" fillId="2" borderId="2" xfId="0" applyNumberFormat="1" applyFont="1" applyFill="1" applyBorder="1" applyAlignment="1">
      <alignment horizontal="center" vertical="center" wrapText="1"/>
    </xf>
    <xf numFmtId="164" fontId="9" fillId="2" borderId="2" xfId="0" applyNumberFormat="1" applyFont="1" applyFill="1" applyBorder="1" applyAlignment="1">
      <alignment horizontal="center" vertical="center"/>
    </xf>
    <xf numFmtId="0" fontId="2" fillId="0" borderId="0" xfId="0" applyFont="1"/>
    <xf numFmtId="1" fontId="9" fillId="2" borderId="1" xfId="0" applyNumberFormat="1" applyFont="1" applyFill="1" applyBorder="1" applyAlignment="1">
      <alignment horizontal="center" vertical="center"/>
    </xf>
    <xf numFmtId="1" fontId="12" fillId="2" borderId="1" xfId="0" applyNumberFormat="1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1" fontId="12" fillId="2" borderId="1" xfId="0" applyNumberFormat="1" applyFont="1" applyFill="1" applyBorder="1" applyAlignment="1">
      <alignment horizontal="center" vertical="center"/>
    </xf>
    <xf numFmtId="0" fontId="9" fillId="2" borderId="0" xfId="0" applyFont="1" applyFill="1" applyBorder="1"/>
    <xf numFmtId="0" fontId="13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15" fillId="2" borderId="2" xfId="0" applyFont="1" applyFill="1" applyBorder="1" applyAlignment="1">
      <alignment horizontal="center" vertical="center" wrapText="1"/>
    </xf>
    <xf numFmtId="164" fontId="12" fillId="2" borderId="2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 wrapText="1"/>
    </xf>
    <xf numFmtId="0" fontId="9" fillId="0" borderId="0" xfId="0" applyFont="1" applyBorder="1"/>
    <xf numFmtId="0" fontId="10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/>
    </xf>
    <xf numFmtId="0" fontId="12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/>
    </xf>
    <xf numFmtId="0" fontId="9" fillId="0" borderId="0" xfId="0" applyFont="1" applyAlignment="1">
      <alignment horizontal="left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2" fillId="2" borderId="1" xfId="2" applyNumberFormat="1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1" fontId="9" fillId="0" borderId="0" xfId="0" applyNumberFormat="1" applyFont="1"/>
    <xf numFmtId="0" fontId="9" fillId="2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2" fontId="9" fillId="0" borderId="0" xfId="0" applyNumberFormat="1" applyFont="1"/>
    <xf numFmtId="164" fontId="9" fillId="0" borderId="0" xfId="0" applyNumberFormat="1" applyFont="1"/>
    <xf numFmtId="0" fontId="6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/>
    <xf numFmtId="0" fontId="13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1" fontId="2" fillId="2" borderId="4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" fontId="9" fillId="2" borderId="2" xfId="0" applyNumberFormat="1" applyFont="1" applyFill="1" applyBorder="1" applyAlignment="1">
      <alignment horizontal="center" vertical="center"/>
    </xf>
    <xf numFmtId="164" fontId="2" fillId="2" borderId="4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wrapText="1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wrapText="1"/>
    </xf>
    <xf numFmtId="0" fontId="14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right" vertical="center" wrapText="1"/>
    </xf>
    <xf numFmtId="0" fontId="9" fillId="2" borderId="0" xfId="0" applyFont="1" applyFill="1" applyAlignment="1">
      <alignment horizontal="right" vertical="center"/>
    </xf>
    <xf numFmtId="0" fontId="20" fillId="2" borderId="19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18" fillId="2" borderId="14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4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15" xfId="0" applyFont="1" applyFill="1" applyBorder="1" applyAlignment="1">
      <alignment horizontal="center" vertical="center" wrapText="1"/>
    </xf>
    <xf numFmtId="0" fontId="18" fillId="2" borderId="16" xfId="0" applyFont="1" applyFill="1" applyBorder="1" applyAlignment="1">
      <alignment horizontal="center" vertical="center" wrapText="1"/>
    </xf>
    <xf numFmtId="0" fontId="18" fillId="2" borderId="17" xfId="0" applyFont="1" applyFill="1" applyBorder="1" applyAlignment="1">
      <alignment horizontal="center" vertical="center" wrapText="1"/>
    </xf>
    <xf numFmtId="0" fontId="19" fillId="2" borderId="12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19" fillId="2" borderId="13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16" fillId="2" borderId="12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/>
    </xf>
    <xf numFmtId="0" fontId="16" fillId="2" borderId="10" xfId="0" applyFont="1" applyFill="1" applyBorder="1" applyAlignment="1">
      <alignment horizontal="center" vertical="center"/>
    </xf>
    <xf numFmtId="0" fontId="16" fillId="2" borderId="1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 wrapText="1"/>
    </xf>
    <xf numFmtId="0" fontId="17" fillId="2" borderId="9" xfId="0" applyFont="1" applyFill="1" applyBorder="1" applyAlignment="1">
      <alignment horizontal="center" vertical="center" wrapText="1"/>
    </xf>
    <xf numFmtId="0" fontId="17" fillId="2" borderId="10" xfId="0" applyFont="1" applyFill="1" applyBorder="1" applyAlignment="1">
      <alignment horizontal="center" vertical="center" wrapText="1"/>
    </xf>
    <xf numFmtId="0" fontId="17" fillId="2" borderId="1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/>
    </xf>
    <xf numFmtId="0" fontId="16" fillId="2" borderId="6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left" vertical="center" wrapText="1"/>
    </xf>
    <xf numFmtId="0" fontId="9" fillId="2" borderId="5" xfId="0" applyFont="1" applyFill="1" applyBorder="1" applyAlignment="1">
      <alignment horizontal="left" vertical="center"/>
    </xf>
    <xf numFmtId="0" fontId="9" fillId="2" borderId="4" xfId="0" applyFont="1" applyFill="1" applyBorder="1" applyAlignment="1">
      <alignment horizontal="left" vertical="center"/>
    </xf>
  </cellXfs>
  <cellStyles count="3">
    <cellStyle name="Normal 8" xfId="1"/>
    <cellStyle name="Обычный" xfId="0" builtinId="0"/>
    <cellStyle name="Процентный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63"/>
  <sheetViews>
    <sheetView tabSelected="1" zoomScale="75" zoomScaleNormal="75" workbookViewId="0">
      <pane ySplit="4" topLeftCell="A5" activePane="bottomLeft" state="frozen"/>
      <selection pane="bottomLeft" sqref="A1:K1"/>
    </sheetView>
  </sheetViews>
  <sheetFormatPr defaultRowHeight="18" x14ac:dyDescent="0.25"/>
  <cols>
    <col min="1" max="1" width="4.85546875" style="21" customWidth="1"/>
    <col min="2" max="2" width="40.5703125" style="36" customWidth="1"/>
    <col min="3" max="3" width="11.140625" style="22" customWidth="1"/>
    <col min="4" max="4" width="12.28515625" style="1" customWidth="1"/>
    <col min="5" max="5" width="11.7109375" style="1" customWidth="1"/>
    <col min="6" max="6" width="11.140625" style="1" customWidth="1"/>
    <col min="7" max="7" width="11.85546875" style="1" customWidth="1"/>
    <col min="8" max="8" width="12.140625" style="1" customWidth="1"/>
    <col min="9" max="11" width="11.7109375" style="1" customWidth="1"/>
    <col min="12" max="12" width="9.140625" style="1"/>
    <col min="13" max="13" width="11.85546875" style="1" bestFit="1" customWidth="1"/>
    <col min="14" max="16384" width="9.140625" style="1"/>
  </cols>
  <sheetData>
    <row r="1" spans="1:20" ht="71.25" customHeight="1" x14ac:dyDescent="0.25">
      <c r="A1" s="66" t="s">
        <v>245</v>
      </c>
      <c r="B1" s="67"/>
      <c r="C1" s="67"/>
      <c r="D1" s="67"/>
      <c r="E1" s="67"/>
      <c r="F1" s="67"/>
      <c r="G1" s="67"/>
      <c r="H1" s="67"/>
      <c r="I1" s="67"/>
      <c r="J1" s="67"/>
      <c r="K1" s="67"/>
    </row>
    <row r="2" spans="1:20" ht="45.75" customHeight="1" thickBot="1" x14ac:dyDescent="0.3">
      <c r="A2" s="68" t="s">
        <v>228</v>
      </c>
      <c r="B2" s="68"/>
      <c r="C2" s="68"/>
      <c r="D2" s="68"/>
      <c r="E2" s="68"/>
      <c r="F2" s="68"/>
      <c r="G2" s="68"/>
      <c r="H2" s="68"/>
      <c r="I2" s="68"/>
      <c r="J2" s="68"/>
      <c r="K2" s="68"/>
    </row>
    <row r="3" spans="1:20" ht="34.5" customHeight="1" x14ac:dyDescent="0.25">
      <c r="A3" s="69" t="s">
        <v>55</v>
      </c>
      <c r="B3" s="71" t="s">
        <v>0</v>
      </c>
      <c r="C3" s="73" t="s">
        <v>1</v>
      </c>
      <c r="D3" s="73" t="s">
        <v>224</v>
      </c>
      <c r="E3" s="73"/>
      <c r="F3" s="73" t="s">
        <v>98</v>
      </c>
      <c r="G3" s="73"/>
      <c r="H3" s="75" t="s">
        <v>97</v>
      </c>
      <c r="I3" s="76"/>
      <c r="J3" s="76"/>
      <c r="K3" s="77"/>
    </row>
    <row r="4" spans="1:20" ht="63.75" customHeight="1" x14ac:dyDescent="0.25">
      <c r="A4" s="70"/>
      <c r="B4" s="72"/>
      <c r="C4" s="74"/>
      <c r="D4" s="54" t="s">
        <v>234</v>
      </c>
      <c r="E4" s="54" t="s">
        <v>26</v>
      </c>
      <c r="F4" s="54" t="s">
        <v>24</v>
      </c>
      <c r="G4" s="54" t="s">
        <v>27</v>
      </c>
      <c r="H4" s="54" t="s">
        <v>99</v>
      </c>
      <c r="I4" s="54" t="s">
        <v>28</v>
      </c>
      <c r="J4" s="54" t="s">
        <v>225</v>
      </c>
      <c r="K4" s="23" t="s">
        <v>226</v>
      </c>
    </row>
    <row r="5" spans="1:20" ht="26.25" customHeight="1" x14ac:dyDescent="0.25">
      <c r="A5" s="87" t="s">
        <v>242</v>
      </c>
      <c r="B5" s="88"/>
      <c r="C5" s="88"/>
      <c r="D5" s="88"/>
      <c r="E5" s="88"/>
      <c r="F5" s="88"/>
      <c r="G5" s="88"/>
      <c r="H5" s="88"/>
      <c r="I5" s="88"/>
      <c r="J5" s="88"/>
      <c r="K5" s="89"/>
    </row>
    <row r="6" spans="1:20" ht="44.25" customHeight="1" x14ac:dyDescent="0.25">
      <c r="A6" s="25" t="s">
        <v>118</v>
      </c>
      <c r="B6" s="31" t="s">
        <v>219</v>
      </c>
      <c r="C6" s="4" t="s">
        <v>23</v>
      </c>
      <c r="D6" s="16">
        <v>10051.252500000001</v>
      </c>
      <c r="E6" s="16">
        <v>102.5</v>
      </c>
      <c r="F6" s="16">
        <v>10272.380055000001</v>
      </c>
      <c r="G6" s="5">
        <v>102.2</v>
      </c>
      <c r="H6" s="17">
        <v>10426.465755825002</v>
      </c>
      <c r="I6" s="5">
        <v>101.5</v>
      </c>
      <c r="J6" s="17">
        <v>10666.274468208978</v>
      </c>
      <c r="K6" s="5">
        <v>102.3</v>
      </c>
      <c r="L6" s="41"/>
      <c r="M6" s="41"/>
      <c r="N6" s="41"/>
      <c r="O6" s="41"/>
      <c r="P6" s="41"/>
      <c r="Q6" s="41"/>
      <c r="R6" s="41"/>
      <c r="S6" s="41"/>
      <c r="T6" s="41"/>
    </row>
    <row r="7" spans="1:20" ht="61.5" customHeight="1" x14ac:dyDescent="0.25">
      <c r="A7" s="25" t="s">
        <v>119</v>
      </c>
      <c r="B7" s="31" t="s">
        <v>81</v>
      </c>
      <c r="C7" s="4" t="s">
        <v>36</v>
      </c>
      <c r="D7" s="16">
        <v>114156.1</v>
      </c>
      <c r="E7" s="6">
        <v>107.2</v>
      </c>
      <c r="F7" s="16">
        <v>127253</v>
      </c>
      <c r="G7" s="6">
        <v>107.8</v>
      </c>
      <c r="H7" s="16">
        <v>142532.79999999999</v>
      </c>
      <c r="I7" s="6">
        <v>108</v>
      </c>
      <c r="J7" s="16">
        <v>162911.4</v>
      </c>
      <c r="K7" s="24">
        <v>108.1</v>
      </c>
      <c r="P7" s="41"/>
    </row>
    <row r="8" spans="1:20" ht="27" customHeight="1" x14ac:dyDescent="0.25">
      <c r="A8" s="25" t="s">
        <v>120</v>
      </c>
      <c r="B8" s="32" t="s">
        <v>20</v>
      </c>
      <c r="C8" s="4" t="s">
        <v>25</v>
      </c>
      <c r="D8" s="6"/>
      <c r="E8" s="6">
        <v>107.7</v>
      </c>
      <c r="F8" s="6"/>
      <c r="G8" s="6">
        <v>103.4</v>
      </c>
      <c r="H8" s="6"/>
      <c r="I8" s="6">
        <v>103.7</v>
      </c>
      <c r="J8" s="6"/>
      <c r="K8" s="24">
        <v>105.7</v>
      </c>
    </row>
    <row r="9" spans="1:20" ht="24.75" customHeight="1" x14ac:dyDescent="0.25">
      <c r="A9" s="25" t="s">
        <v>121</v>
      </c>
      <c r="B9" s="32" t="s">
        <v>111</v>
      </c>
      <c r="C9" s="4" t="s">
        <v>21</v>
      </c>
      <c r="D9" s="16">
        <v>11357.400483173615</v>
      </c>
      <c r="E9" s="6">
        <v>112.59833858020293</v>
      </c>
      <c r="F9" s="16">
        <v>12387.878886749384</v>
      </c>
      <c r="G9" s="6">
        <v>109.07318893176708</v>
      </c>
      <c r="H9" s="16">
        <v>13670.288987461598</v>
      </c>
      <c r="I9" s="6">
        <v>110.35213624895812</v>
      </c>
      <c r="J9" s="16">
        <v>15273.505335490881</v>
      </c>
      <c r="K9" s="6">
        <v>111.7277429138459</v>
      </c>
    </row>
    <row r="10" spans="1:20" ht="36" customHeight="1" x14ac:dyDescent="0.25">
      <c r="A10" s="25" t="s">
        <v>122</v>
      </c>
      <c r="B10" s="31" t="s">
        <v>100</v>
      </c>
      <c r="C10" s="3" t="s">
        <v>25</v>
      </c>
      <c r="D10" s="6"/>
      <c r="E10" s="10" t="s">
        <v>116</v>
      </c>
      <c r="F10" s="5"/>
      <c r="G10" s="5" t="s">
        <v>116</v>
      </c>
      <c r="H10" s="7"/>
      <c r="I10" s="6" t="s">
        <v>116</v>
      </c>
      <c r="J10" s="7"/>
      <c r="K10" s="12" t="s">
        <v>116</v>
      </c>
    </row>
    <row r="11" spans="1:20" ht="61.5" customHeight="1" x14ac:dyDescent="0.25">
      <c r="A11" s="25" t="s">
        <v>123</v>
      </c>
      <c r="B11" s="31" t="s">
        <v>243</v>
      </c>
      <c r="C11" s="4" t="s">
        <v>21</v>
      </c>
      <c r="D11" s="10" t="s">
        <v>116</v>
      </c>
      <c r="E11" s="10" t="s">
        <v>116</v>
      </c>
      <c r="F11" s="11" t="s">
        <v>116</v>
      </c>
      <c r="G11" s="18" t="s">
        <v>116</v>
      </c>
      <c r="H11" s="8" t="s">
        <v>116</v>
      </c>
      <c r="I11" s="8" t="s">
        <v>116</v>
      </c>
      <c r="J11" s="8" t="s">
        <v>116</v>
      </c>
      <c r="K11" s="8" t="s">
        <v>116</v>
      </c>
    </row>
    <row r="12" spans="1:20" ht="37.5" customHeight="1" x14ac:dyDescent="0.25">
      <c r="A12" s="91" t="s">
        <v>29</v>
      </c>
      <c r="B12" s="92"/>
      <c r="C12" s="92"/>
      <c r="D12" s="92"/>
      <c r="E12" s="92"/>
      <c r="F12" s="92"/>
      <c r="G12" s="92"/>
      <c r="H12" s="92"/>
      <c r="I12" s="92"/>
      <c r="J12" s="92"/>
      <c r="K12" s="93"/>
    </row>
    <row r="13" spans="1:20" ht="75.75" customHeight="1" x14ac:dyDescent="0.25">
      <c r="A13" s="25" t="s">
        <v>124</v>
      </c>
      <c r="B13" s="33" t="s">
        <v>30</v>
      </c>
      <c r="C13" s="3" t="s">
        <v>36</v>
      </c>
      <c r="D13" s="53">
        <v>47101.9</v>
      </c>
      <c r="E13" s="56">
        <v>119.2</v>
      </c>
      <c r="F13" s="53">
        <v>60137.9</v>
      </c>
      <c r="G13" s="56">
        <v>120.1</v>
      </c>
      <c r="H13" s="53">
        <v>73510</v>
      </c>
      <c r="I13" s="56">
        <v>121.2</v>
      </c>
      <c r="J13" s="53">
        <v>92263.9</v>
      </c>
      <c r="K13" s="56">
        <v>121.4</v>
      </c>
      <c r="L13" s="20"/>
    </row>
    <row r="14" spans="1:20" ht="22.5" customHeight="1" x14ac:dyDescent="0.25">
      <c r="A14" s="78" t="s">
        <v>31</v>
      </c>
      <c r="B14" s="79"/>
      <c r="C14" s="79"/>
      <c r="D14" s="79"/>
      <c r="E14" s="79"/>
      <c r="F14" s="79"/>
      <c r="G14" s="79"/>
      <c r="H14" s="79"/>
      <c r="I14" s="79"/>
      <c r="J14" s="79"/>
      <c r="K14" s="80"/>
    </row>
    <row r="15" spans="1:20" ht="51" customHeight="1" x14ac:dyDescent="0.25">
      <c r="A15" s="25" t="s">
        <v>125</v>
      </c>
      <c r="B15" s="33" t="s">
        <v>222</v>
      </c>
      <c r="C15" s="3" t="s">
        <v>36</v>
      </c>
      <c r="D15" s="44">
        <v>45375.199999999997</v>
      </c>
      <c r="E15" s="37">
        <v>108.4</v>
      </c>
      <c r="F15" s="44">
        <v>50859.7</v>
      </c>
      <c r="G15" s="37">
        <v>107</v>
      </c>
      <c r="H15" s="44">
        <v>56921.9</v>
      </c>
      <c r="I15" s="37">
        <v>107.2</v>
      </c>
      <c r="J15" s="44">
        <v>63807.7</v>
      </c>
      <c r="K15" s="39">
        <v>107.4</v>
      </c>
      <c r="M15" s="14"/>
    </row>
    <row r="16" spans="1:20" ht="22.5" customHeight="1" x14ac:dyDescent="0.25">
      <c r="A16" s="81" t="s">
        <v>32</v>
      </c>
      <c r="B16" s="82"/>
      <c r="C16" s="82"/>
      <c r="D16" s="82"/>
      <c r="E16" s="82"/>
      <c r="F16" s="82"/>
      <c r="G16" s="82"/>
      <c r="H16" s="82"/>
      <c r="I16" s="82"/>
      <c r="J16" s="82"/>
      <c r="K16" s="83"/>
    </row>
    <row r="17" spans="1:34" ht="37.5" customHeight="1" x14ac:dyDescent="0.25">
      <c r="A17" s="25" t="s">
        <v>126</v>
      </c>
      <c r="B17" s="33" t="s">
        <v>33</v>
      </c>
      <c r="C17" s="3" t="s">
        <v>108</v>
      </c>
      <c r="D17" s="44">
        <v>88.4</v>
      </c>
      <c r="E17" s="37">
        <v>107.7</v>
      </c>
      <c r="F17" s="44">
        <v>93.2</v>
      </c>
      <c r="G17" s="37">
        <v>105.4</v>
      </c>
      <c r="H17" s="44">
        <v>98.4</v>
      </c>
      <c r="I17" s="37">
        <v>105.6</v>
      </c>
      <c r="J17" s="44">
        <v>104</v>
      </c>
      <c r="K17" s="37">
        <v>105.7</v>
      </c>
      <c r="M17" s="14"/>
    </row>
    <row r="18" spans="1:34" s="2" customFormat="1" ht="36" customHeight="1" x14ac:dyDescent="0.25">
      <c r="A18" s="25" t="s">
        <v>127</v>
      </c>
      <c r="B18" s="33" t="s">
        <v>34</v>
      </c>
      <c r="C18" s="3" t="s">
        <v>96</v>
      </c>
      <c r="D18" s="44">
        <v>800</v>
      </c>
      <c r="E18" s="37">
        <v>108.6</v>
      </c>
      <c r="F18" s="44">
        <v>847.7</v>
      </c>
      <c r="G18" s="37">
        <v>106</v>
      </c>
      <c r="H18" s="44">
        <v>910.3</v>
      </c>
      <c r="I18" s="37">
        <v>107.4</v>
      </c>
      <c r="J18" s="44">
        <v>977.3</v>
      </c>
      <c r="K18" s="37">
        <v>107.4</v>
      </c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</row>
    <row r="19" spans="1:34" ht="24" customHeight="1" x14ac:dyDescent="0.25">
      <c r="A19" s="84" t="s">
        <v>35</v>
      </c>
      <c r="B19" s="85"/>
      <c r="C19" s="85"/>
      <c r="D19" s="85"/>
      <c r="E19" s="85"/>
      <c r="F19" s="85"/>
      <c r="G19" s="85"/>
      <c r="H19" s="85"/>
      <c r="I19" s="85"/>
      <c r="J19" s="85"/>
      <c r="K19" s="86"/>
    </row>
    <row r="20" spans="1:34" ht="54" x14ac:dyDescent="0.25">
      <c r="A20" s="25" t="s">
        <v>128</v>
      </c>
      <c r="B20" s="33" t="s">
        <v>213</v>
      </c>
      <c r="C20" s="51" t="s">
        <v>36</v>
      </c>
      <c r="D20" s="15">
        <v>44409.5</v>
      </c>
      <c r="E20" s="9">
        <v>99.9</v>
      </c>
      <c r="F20" s="15">
        <v>53139.4</v>
      </c>
      <c r="G20" s="9">
        <v>108.9</v>
      </c>
      <c r="H20" s="15">
        <v>62908.4</v>
      </c>
      <c r="I20" s="9">
        <v>108.8</v>
      </c>
      <c r="J20" s="15">
        <v>76218.3</v>
      </c>
      <c r="K20" s="13">
        <v>109.6</v>
      </c>
    </row>
    <row r="21" spans="1:34" ht="36.75" customHeight="1" x14ac:dyDescent="0.25">
      <c r="A21" s="25" t="s">
        <v>129</v>
      </c>
      <c r="B21" s="33" t="s">
        <v>82</v>
      </c>
      <c r="C21" s="51" t="s">
        <v>36</v>
      </c>
      <c r="D21" s="15">
        <v>37635.199999999997</v>
      </c>
      <c r="E21" s="9">
        <v>100.8</v>
      </c>
      <c r="F21" s="15">
        <v>45033.4</v>
      </c>
      <c r="G21" s="9">
        <v>108.9</v>
      </c>
      <c r="H21" s="15">
        <v>53402.7</v>
      </c>
      <c r="I21" s="9">
        <v>109</v>
      </c>
      <c r="J21" s="15">
        <v>64591.7</v>
      </c>
      <c r="K21" s="13">
        <v>109.4</v>
      </c>
    </row>
    <row r="22" spans="1:34" ht="55.5" customHeight="1" x14ac:dyDescent="0.25">
      <c r="A22" s="25" t="s">
        <v>130</v>
      </c>
      <c r="B22" s="33" t="s">
        <v>37</v>
      </c>
      <c r="C22" s="51" t="s">
        <v>36</v>
      </c>
      <c r="D22" s="15">
        <v>15242.2</v>
      </c>
      <c r="E22" s="9">
        <v>94.7</v>
      </c>
      <c r="F22" s="15">
        <v>16684.900000000001</v>
      </c>
      <c r="G22" s="45">
        <v>103.3</v>
      </c>
      <c r="H22" s="15">
        <v>18600.400000000001</v>
      </c>
      <c r="I22" s="9">
        <v>103.8</v>
      </c>
      <c r="J22" s="15">
        <v>21198.799999999999</v>
      </c>
      <c r="K22" s="55">
        <v>105.5</v>
      </c>
    </row>
    <row r="23" spans="1:34" ht="54" x14ac:dyDescent="0.25">
      <c r="A23" s="25" t="s">
        <v>131</v>
      </c>
      <c r="B23" s="33" t="s">
        <v>83</v>
      </c>
      <c r="C23" s="3" t="s">
        <v>36</v>
      </c>
      <c r="D23" s="15">
        <v>11724.8</v>
      </c>
      <c r="E23" s="9">
        <v>93.9</v>
      </c>
      <c r="F23" s="15">
        <v>12545</v>
      </c>
      <c r="G23" s="9">
        <v>100.5</v>
      </c>
      <c r="H23" s="15">
        <v>13577</v>
      </c>
      <c r="I23" s="9">
        <v>101.6</v>
      </c>
      <c r="J23" s="15">
        <v>14824.3</v>
      </c>
      <c r="K23" s="13">
        <v>102.5</v>
      </c>
    </row>
    <row r="24" spans="1:34" ht="24" customHeight="1" x14ac:dyDescent="0.25">
      <c r="A24" s="84" t="s">
        <v>38</v>
      </c>
      <c r="B24" s="85"/>
      <c r="C24" s="85"/>
      <c r="D24" s="85"/>
      <c r="E24" s="85"/>
      <c r="F24" s="85"/>
      <c r="G24" s="85"/>
      <c r="H24" s="85"/>
      <c r="I24" s="85"/>
      <c r="J24" s="85"/>
      <c r="K24" s="86"/>
    </row>
    <row r="25" spans="1:34" ht="36" x14ac:dyDescent="0.25">
      <c r="A25" s="25" t="s">
        <v>132</v>
      </c>
      <c r="B25" s="33" t="s">
        <v>112</v>
      </c>
      <c r="C25" s="43" t="s">
        <v>39</v>
      </c>
      <c r="D25" s="17">
        <v>5610</v>
      </c>
      <c r="E25" s="7">
        <f>+D25/6359.1*100</f>
        <v>88.220031136481566</v>
      </c>
      <c r="F25" s="17">
        <v>6430</v>
      </c>
      <c r="G25" s="7">
        <f>+F25/D25*100</f>
        <v>114.61675579322639</v>
      </c>
      <c r="H25" s="17">
        <v>7350</v>
      </c>
      <c r="I25" s="7">
        <f>+H25/F25*100</f>
        <v>114.30793157076205</v>
      </c>
      <c r="J25" s="17">
        <v>8560</v>
      </c>
      <c r="K25" s="7">
        <f>+J25/H25*100</f>
        <v>116.46258503401361</v>
      </c>
    </row>
    <row r="26" spans="1:34" ht="39" customHeight="1" x14ac:dyDescent="0.25">
      <c r="A26" s="25" t="s">
        <v>133</v>
      </c>
      <c r="B26" s="33" t="s">
        <v>114</v>
      </c>
      <c r="C26" s="43" t="s">
        <v>39</v>
      </c>
      <c r="D26" s="17">
        <f>+D25*33.6/100</f>
        <v>1884.96</v>
      </c>
      <c r="E26" s="7">
        <f>+D26/2149.6*100</f>
        <v>87.688872348343878</v>
      </c>
      <c r="F26" s="17">
        <f>+F25*37.2/100</f>
        <v>2391.9600000000005</v>
      </c>
      <c r="G26" s="7">
        <f>+F26/D26*100</f>
        <v>126.89712248535781</v>
      </c>
      <c r="H26" s="17">
        <f>+H25*38.2/100</f>
        <v>2807.7</v>
      </c>
      <c r="I26" s="7">
        <f>+H26/F26*100</f>
        <v>117.38072543019112</v>
      </c>
      <c r="J26" s="17">
        <f>+J25*0.4</f>
        <v>3424</v>
      </c>
      <c r="K26" s="7">
        <f>+J26/H26*100</f>
        <v>121.95035082095667</v>
      </c>
    </row>
    <row r="27" spans="1:34" ht="36" x14ac:dyDescent="0.25">
      <c r="A27" s="25" t="s">
        <v>134</v>
      </c>
      <c r="B27" s="33" t="s">
        <v>110</v>
      </c>
      <c r="C27" s="43" t="s">
        <v>39</v>
      </c>
      <c r="D27" s="17">
        <f>+D25-D26</f>
        <v>3725.04</v>
      </c>
      <c r="E27" s="7">
        <f>+D27/4209.5*100</f>
        <v>88.491269747000828</v>
      </c>
      <c r="F27" s="17">
        <f>+F25-F26</f>
        <v>4038.0399999999995</v>
      </c>
      <c r="G27" s="7">
        <f>+F27/D27*100</f>
        <v>108.40259433455748</v>
      </c>
      <c r="H27" s="17">
        <f>+H25-H26</f>
        <v>4542.3</v>
      </c>
      <c r="I27" s="7">
        <f>+H27/F27*100</f>
        <v>112.48774157759706</v>
      </c>
      <c r="J27" s="17">
        <f>+J25-J26</f>
        <v>5136</v>
      </c>
      <c r="K27" s="7">
        <f>+J27/H27*100</f>
        <v>113.07047090680933</v>
      </c>
    </row>
    <row r="28" spans="1:34" ht="31.5" customHeight="1" x14ac:dyDescent="0.25">
      <c r="A28" s="84" t="s">
        <v>13</v>
      </c>
      <c r="B28" s="85"/>
      <c r="C28" s="85"/>
      <c r="D28" s="85"/>
      <c r="E28" s="85"/>
      <c r="F28" s="85"/>
      <c r="G28" s="85"/>
      <c r="H28" s="85"/>
      <c r="I28" s="85"/>
      <c r="J28" s="85"/>
      <c r="K28" s="86"/>
    </row>
    <row r="29" spans="1:34" ht="37.5" customHeight="1" x14ac:dyDescent="0.25">
      <c r="A29" s="70" t="s">
        <v>135</v>
      </c>
      <c r="B29" s="90" t="s">
        <v>216</v>
      </c>
      <c r="C29" s="51" t="s">
        <v>44</v>
      </c>
      <c r="D29" s="17">
        <v>3370</v>
      </c>
      <c r="E29" s="7">
        <f>D29/3302*100</f>
        <v>102.05935796486978</v>
      </c>
      <c r="F29" s="17">
        <v>3450</v>
      </c>
      <c r="G29" s="7">
        <f>F29/D29*100</f>
        <v>102.37388724035608</v>
      </c>
      <c r="H29" s="7">
        <v>3580</v>
      </c>
      <c r="I29" s="7">
        <f>H29/F29*100</f>
        <v>103.768115942029</v>
      </c>
      <c r="J29" s="17">
        <v>3730</v>
      </c>
      <c r="K29" s="7">
        <f>J29/H29*100</f>
        <v>104.1899441340782</v>
      </c>
    </row>
    <row r="30" spans="1:34" ht="39.75" customHeight="1" x14ac:dyDescent="0.25">
      <c r="A30" s="70"/>
      <c r="B30" s="90"/>
      <c r="C30" s="43" t="s">
        <v>39</v>
      </c>
      <c r="D30" s="7">
        <v>99.5</v>
      </c>
      <c r="E30" s="7">
        <f>D30/96*100</f>
        <v>103.64583333333333</v>
      </c>
      <c r="F30" s="7">
        <v>102.4</v>
      </c>
      <c r="G30" s="7">
        <f t="shared" ref="G30:G52" si="0">F30/D30*100</f>
        <v>102.91457286432161</v>
      </c>
      <c r="H30" s="7">
        <v>107.2</v>
      </c>
      <c r="I30" s="7">
        <f t="shared" ref="I30:I52" si="1">H30/F30*100</f>
        <v>104.6875</v>
      </c>
      <c r="J30" s="7">
        <v>112.3</v>
      </c>
      <c r="K30" s="7">
        <f t="shared" ref="K30:K52" si="2">J30/H30*100</f>
        <v>104.75746268656717</v>
      </c>
    </row>
    <row r="31" spans="1:34" ht="36.75" customHeight="1" x14ac:dyDescent="0.25">
      <c r="A31" s="70" t="s">
        <v>136</v>
      </c>
      <c r="B31" s="94" t="s">
        <v>5</v>
      </c>
      <c r="C31" s="51" t="s">
        <v>4</v>
      </c>
      <c r="D31" s="17">
        <v>75</v>
      </c>
      <c r="E31" s="7">
        <f>+D31/55.6*100</f>
        <v>134.89208633093526</v>
      </c>
      <c r="F31" s="7">
        <v>91.6</v>
      </c>
      <c r="G31" s="7">
        <f t="shared" si="0"/>
        <v>122.13333333333331</v>
      </c>
      <c r="H31" s="7">
        <v>113.7</v>
      </c>
      <c r="I31" s="7">
        <f t="shared" si="1"/>
        <v>124.12663755458517</v>
      </c>
      <c r="J31" s="7">
        <v>136.6</v>
      </c>
      <c r="K31" s="7">
        <f t="shared" si="2"/>
        <v>120.14072119613016</v>
      </c>
      <c r="L31" s="46"/>
    </row>
    <row r="32" spans="1:34" ht="37.5" customHeight="1" x14ac:dyDescent="0.25">
      <c r="A32" s="70"/>
      <c r="B32" s="94"/>
      <c r="C32" s="51" t="s">
        <v>39</v>
      </c>
      <c r="D32" s="7">
        <v>185.2</v>
      </c>
      <c r="E32" s="7">
        <f>D32/135.1*100</f>
        <v>137.0836417468542</v>
      </c>
      <c r="F32" s="7">
        <v>225.8</v>
      </c>
      <c r="G32" s="7">
        <f t="shared" si="0"/>
        <v>121.92224622030238</v>
      </c>
      <c r="H32" s="7">
        <v>283.39999999999998</v>
      </c>
      <c r="I32" s="7">
        <f t="shared" si="1"/>
        <v>125.50930026572186</v>
      </c>
      <c r="J32" s="7">
        <v>341.2</v>
      </c>
      <c r="K32" s="7">
        <f t="shared" si="2"/>
        <v>120.39520112914607</v>
      </c>
      <c r="N32" s="46"/>
    </row>
    <row r="33" spans="1:11" ht="39.75" customHeight="1" x14ac:dyDescent="0.25">
      <c r="A33" s="70" t="s">
        <v>137</v>
      </c>
      <c r="B33" s="94" t="s">
        <v>106</v>
      </c>
      <c r="C33" s="51" t="s">
        <v>4</v>
      </c>
      <c r="D33" s="7">
        <v>80</v>
      </c>
      <c r="E33" s="7">
        <f>+D33/100.6*100</f>
        <v>79.522862823061629</v>
      </c>
      <c r="F33" s="7">
        <v>65</v>
      </c>
      <c r="G33" s="7">
        <f t="shared" si="0"/>
        <v>81.25</v>
      </c>
      <c r="H33" s="7">
        <v>52</v>
      </c>
      <c r="I33" s="7">
        <f t="shared" si="1"/>
        <v>80</v>
      </c>
      <c r="J33" s="7">
        <v>35</v>
      </c>
      <c r="K33" s="7">
        <f t="shared" si="2"/>
        <v>67.307692307692307</v>
      </c>
    </row>
    <row r="34" spans="1:11" ht="39" customHeight="1" x14ac:dyDescent="0.25">
      <c r="A34" s="70"/>
      <c r="B34" s="94"/>
      <c r="C34" s="51" t="s">
        <v>39</v>
      </c>
      <c r="D34" s="7">
        <v>163.4</v>
      </c>
      <c r="E34" s="7">
        <f>D34/202.6*100</f>
        <v>80.651530108588361</v>
      </c>
      <c r="F34" s="7">
        <v>133.5</v>
      </c>
      <c r="G34" s="7">
        <f t="shared" si="0"/>
        <v>81.701346389228874</v>
      </c>
      <c r="H34" s="7">
        <v>110.7</v>
      </c>
      <c r="I34" s="7">
        <f t="shared" si="1"/>
        <v>82.921348314606746</v>
      </c>
      <c r="J34" s="7">
        <v>78.5</v>
      </c>
      <c r="K34" s="7">
        <f t="shared" si="2"/>
        <v>70.912375790424562</v>
      </c>
    </row>
    <row r="35" spans="1:11" s="50" customFormat="1" ht="36" customHeight="1" x14ac:dyDescent="0.25">
      <c r="A35" s="70" t="s">
        <v>138</v>
      </c>
      <c r="B35" s="90" t="s">
        <v>14</v>
      </c>
      <c r="C35" s="48" t="s">
        <v>4</v>
      </c>
      <c r="D35" s="49">
        <v>236.7</v>
      </c>
      <c r="E35" s="49">
        <f>D35/208*100</f>
        <v>113.79807692307691</v>
      </c>
      <c r="F35" s="49">
        <v>271.39999999999998</v>
      </c>
      <c r="G35" s="49">
        <f t="shared" si="0"/>
        <v>114.65990705534432</v>
      </c>
      <c r="H35" s="49">
        <v>298.3</v>
      </c>
      <c r="I35" s="49">
        <f t="shared" si="1"/>
        <v>109.91156963890938</v>
      </c>
      <c r="J35" s="49">
        <v>317.5</v>
      </c>
      <c r="K35" s="49">
        <f t="shared" si="2"/>
        <v>106.43647334897754</v>
      </c>
    </row>
    <row r="36" spans="1:11" ht="45" customHeight="1" x14ac:dyDescent="0.25">
      <c r="A36" s="70"/>
      <c r="B36" s="90"/>
      <c r="C36" s="43" t="s">
        <v>39</v>
      </c>
      <c r="D36" s="7">
        <v>41.2</v>
      </c>
      <c r="E36" s="7">
        <f>D36/36*100</f>
        <v>114.44444444444446</v>
      </c>
      <c r="F36" s="7">
        <v>48.1</v>
      </c>
      <c r="G36" s="7">
        <f t="shared" si="0"/>
        <v>116.74757281553399</v>
      </c>
      <c r="H36" s="7">
        <v>53.6</v>
      </c>
      <c r="I36" s="7">
        <f t="shared" si="1"/>
        <v>111.43451143451144</v>
      </c>
      <c r="J36" s="7">
        <v>57.6</v>
      </c>
      <c r="K36" s="7">
        <f t="shared" si="2"/>
        <v>107.46268656716418</v>
      </c>
    </row>
    <row r="37" spans="1:11" s="2" customFormat="1" ht="38.25" customHeight="1" x14ac:dyDescent="0.25">
      <c r="A37" s="70" t="s">
        <v>139</v>
      </c>
      <c r="B37" s="90" t="s">
        <v>84</v>
      </c>
      <c r="C37" s="51" t="s">
        <v>4</v>
      </c>
      <c r="D37" s="7">
        <v>43.8</v>
      </c>
      <c r="E37" s="7">
        <f>D37/41.4*100</f>
        <v>105.79710144927536</v>
      </c>
      <c r="F37" s="7">
        <v>45.3</v>
      </c>
      <c r="G37" s="7">
        <f t="shared" si="0"/>
        <v>103.42465753424656</v>
      </c>
      <c r="H37" s="7">
        <v>50.8</v>
      </c>
      <c r="I37" s="7">
        <f t="shared" si="1"/>
        <v>112.14128035320088</v>
      </c>
      <c r="J37" s="7">
        <v>58.4</v>
      </c>
      <c r="K37" s="7">
        <f t="shared" si="2"/>
        <v>114.96062992125984</v>
      </c>
    </row>
    <row r="38" spans="1:11" ht="42" customHeight="1" x14ac:dyDescent="0.25">
      <c r="A38" s="70"/>
      <c r="B38" s="90"/>
      <c r="C38" s="51" t="s">
        <v>39</v>
      </c>
      <c r="D38" s="7">
        <v>16.8</v>
      </c>
      <c r="E38" s="7">
        <v>54.5</v>
      </c>
      <c r="F38" s="7">
        <v>18.2</v>
      </c>
      <c r="G38" s="7">
        <f t="shared" si="0"/>
        <v>108.33333333333333</v>
      </c>
      <c r="H38" s="7">
        <v>21.1</v>
      </c>
      <c r="I38" s="7">
        <f t="shared" si="1"/>
        <v>115.93406593406594</v>
      </c>
      <c r="J38" s="7">
        <v>24.5</v>
      </c>
      <c r="K38" s="7">
        <f t="shared" si="2"/>
        <v>116.11374407582937</v>
      </c>
    </row>
    <row r="39" spans="1:11" s="2" customFormat="1" ht="36" customHeight="1" x14ac:dyDescent="0.25">
      <c r="A39" s="62" t="s">
        <v>140</v>
      </c>
      <c r="B39" s="64" t="s">
        <v>117</v>
      </c>
      <c r="C39" s="51" t="s">
        <v>4</v>
      </c>
      <c r="D39" s="7">
        <v>12.7</v>
      </c>
      <c r="E39" s="7">
        <f>D39/8.1*100</f>
        <v>156.79012345679013</v>
      </c>
      <c r="F39" s="7">
        <v>16.5</v>
      </c>
      <c r="G39" s="7">
        <f>F39/D39*100</f>
        <v>129.9212598425197</v>
      </c>
      <c r="H39" s="7">
        <v>21.9</v>
      </c>
      <c r="I39" s="7">
        <f>H39/F39*100</f>
        <v>132.72727272727272</v>
      </c>
      <c r="J39" s="7">
        <v>30.2</v>
      </c>
      <c r="K39" s="7">
        <f>J39/H39*100</f>
        <v>137.89954337899545</v>
      </c>
    </row>
    <row r="40" spans="1:11" ht="30" customHeight="1" x14ac:dyDescent="0.25">
      <c r="A40" s="63"/>
      <c r="B40" s="65"/>
      <c r="C40" s="51" t="s">
        <v>39</v>
      </c>
      <c r="D40" s="7">
        <v>3.1</v>
      </c>
      <c r="E40" s="7">
        <v>210.5</v>
      </c>
      <c r="F40" s="7">
        <v>4.2</v>
      </c>
      <c r="G40" s="7">
        <f t="shared" si="0"/>
        <v>135.48387096774195</v>
      </c>
      <c r="H40" s="7">
        <v>5.8</v>
      </c>
      <c r="I40" s="7">
        <f t="shared" si="1"/>
        <v>138.0952380952381</v>
      </c>
      <c r="J40" s="7">
        <v>8.1</v>
      </c>
      <c r="K40" s="7">
        <f t="shared" si="2"/>
        <v>139.65517241379311</v>
      </c>
    </row>
    <row r="41" spans="1:11" s="2" customFormat="1" ht="36" customHeight="1" x14ac:dyDescent="0.25">
      <c r="A41" s="70" t="s">
        <v>141</v>
      </c>
      <c r="B41" s="94" t="s">
        <v>101</v>
      </c>
      <c r="C41" s="51" t="s">
        <v>4</v>
      </c>
      <c r="D41" s="7">
        <v>115.3</v>
      </c>
      <c r="E41" s="7">
        <f>+D41/96*100</f>
        <v>120.10416666666666</v>
      </c>
      <c r="F41" s="7">
        <v>122.8</v>
      </c>
      <c r="G41" s="7">
        <f t="shared" si="0"/>
        <v>106.50477016478752</v>
      </c>
      <c r="H41" s="7">
        <v>131.6</v>
      </c>
      <c r="I41" s="7">
        <f t="shared" si="1"/>
        <v>107.16612377850163</v>
      </c>
      <c r="J41" s="7">
        <v>145</v>
      </c>
      <c r="K41" s="7">
        <f t="shared" si="2"/>
        <v>110.18237082066871</v>
      </c>
    </row>
    <row r="42" spans="1:11" ht="34.5" x14ac:dyDescent="0.25">
      <c r="A42" s="70"/>
      <c r="B42" s="94"/>
      <c r="C42" s="51" t="s">
        <v>39</v>
      </c>
      <c r="D42" s="7">
        <v>7.1</v>
      </c>
      <c r="E42" s="7">
        <f>+D42/5.5*100</f>
        <v>129.09090909090907</v>
      </c>
      <c r="F42" s="7">
        <v>7.6</v>
      </c>
      <c r="G42" s="7">
        <f t="shared" si="0"/>
        <v>107.04225352112675</v>
      </c>
      <c r="H42" s="7">
        <v>8.1999999999999993</v>
      </c>
      <c r="I42" s="7">
        <f t="shared" si="1"/>
        <v>107.89473684210526</v>
      </c>
      <c r="J42" s="7">
        <v>9.1999999999999993</v>
      </c>
      <c r="K42" s="7">
        <f t="shared" si="2"/>
        <v>112.19512195121952</v>
      </c>
    </row>
    <row r="43" spans="1:11" s="2" customFormat="1" ht="32.25" customHeight="1" x14ac:dyDescent="0.25">
      <c r="A43" s="70" t="s">
        <v>142</v>
      </c>
      <c r="B43" s="90" t="s">
        <v>40</v>
      </c>
      <c r="C43" s="51" t="s">
        <v>4</v>
      </c>
      <c r="D43" s="7">
        <v>215</v>
      </c>
      <c r="E43" s="7">
        <f>+D43/271.7*100</f>
        <v>79.131394920868601</v>
      </c>
      <c r="F43" s="7">
        <v>140</v>
      </c>
      <c r="G43" s="7">
        <f t="shared" si="0"/>
        <v>65.116279069767444</v>
      </c>
      <c r="H43" s="7">
        <v>120</v>
      </c>
      <c r="I43" s="7">
        <f t="shared" si="1"/>
        <v>85.714285714285708</v>
      </c>
      <c r="J43" s="7">
        <v>100</v>
      </c>
      <c r="K43" s="7">
        <f t="shared" si="2"/>
        <v>83.333333333333343</v>
      </c>
    </row>
    <row r="44" spans="1:11" ht="34.5" x14ac:dyDescent="0.25">
      <c r="A44" s="70"/>
      <c r="B44" s="90"/>
      <c r="C44" s="51" t="s">
        <v>39</v>
      </c>
      <c r="D44" s="7">
        <v>275.5</v>
      </c>
      <c r="E44" s="7">
        <f>+D44/343.9*100</f>
        <v>80.110497237569064</v>
      </c>
      <c r="F44" s="7">
        <v>182.3</v>
      </c>
      <c r="G44" s="7">
        <f t="shared" si="0"/>
        <v>66.170598911070783</v>
      </c>
      <c r="H44" s="7">
        <v>156.4</v>
      </c>
      <c r="I44" s="7">
        <f t="shared" si="1"/>
        <v>85.792649478880961</v>
      </c>
      <c r="J44" s="7">
        <v>135.6</v>
      </c>
      <c r="K44" s="7">
        <f t="shared" si="2"/>
        <v>86.70076726342711</v>
      </c>
    </row>
    <row r="45" spans="1:11" s="2" customFormat="1" ht="33.75" customHeight="1" x14ac:dyDescent="0.25">
      <c r="A45" s="70" t="s">
        <v>143</v>
      </c>
      <c r="B45" s="94" t="s">
        <v>6</v>
      </c>
      <c r="C45" s="51" t="s">
        <v>4</v>
      </c>
      <c r="D45" s="7">
        <v>1435.2</v>
      </c>
      <c r="E45" s="7">
        <f>+D45/1236.4*100</f>
        <v>116.07893885473956</v>
      </c>
      <c r="F45" s="7">
        <v>1548.5</v>
      </c>
      <c r="G45" s="7">
        <f t="shared" si="0"/>
        <v>107.89437012263099</v>
      </c>
      <c r="H45" s="7">
        <v>1793.2</v>
      </c>
      <c r="I45" s="7">
        <f t="shared" si="1"/>
        <v>115.80238940910559</v>
      </c>
      <c r="J45" s="7">
        <v>2287.1999999999998</v>
      </c>
      <c r="K45" s="7">
        <f t="shared" si="2"/>
        <v>127.54851661833592</v>
      </c>
    </row>
    <row r="46" spans="1:11" ht="34.5" x14ac:dyDescent="0.25">
      <c r="A46" s="70"/>
      <c r="B46" s="94"/>
      <c r="C46" s="51" t="s">
        <v>39</v>
      </c>
      <c r="D46" s="7">
        <v>54.1</v>
      </c>
      <c r="E46" s="7">
        <f>+D46/46.1*100</f>
        <v>117.35357917570499</v>
      </c>
      <c r="F46" s="7">
        <v>58.7</v>
      </c>
      <c r="G46" s="7">
        <f t="shared" si="0"/>
        <v>108.50277264325324</v>
      </c>
      <c r="H46" s="7">
        <v>68.2</v>
      </c>
      <c r="I46" s="7">
        <f t="shared" si="1"/>
        <v>116.1839863713799</v>
      </c>
      <c r="J46" s="7">
        <v>87.3</v>
      </c>
      <c r="K46" s="7">
        <f t="shared" si="2"/>
        <v>128.00586510263929</v>
      </c>
    </row>
    <row r="47" spans="1:11" ht="34.5" x14ac:dyDescent="0.25">
      <c r="A47" s="62" t="s">
        <v>144</v>
      </c>
      <c r="B47" s="100" t="s">
        <v>41</v>
      </c>
      <c r="C47" s="51" t="s">
        <v>4</v>
      </c>
      <c r="D47" s="7">
        <v>0.7</v>
      </c>
      <c r="E47" s="7">
        <f>+D47/0.3*100</f>
        <v>233.33333333333334</v>
      </c>
      <c r="F47" s="7">
        <v>1.1000000000000001</v>
      </c>
      <c r="G47" s="7">
        <f t="shared" si="0"/>
        <v>157.14285714285717</v>
      </c>
      <c r="H47" s="7">
        <v>1.7</v>
      </c>
      <c r="I47" s="7">
        <f t="shared" si="1"/>
        <v>154.54545454545453</v>
      </c>
      <c r="J47" s="7">
        <v>2.6</v>
      </c>
      <c r="K47" s="7">
        <f t="shared" si="2"/>
        <v>152.94117647058826</v>
      </c>
    </row>
    <row r="48" spans="1:11" ht="42" customHeight="1" x14ac:dyDescent="0.25">
      <c r="A48" s="63"/>
      <c r="B48" s="101"/>
      <c r="C48" s="51" t="s">
        <v>39</v>
      </c>
      <c r="D48" s="7">
        <v>4.0999999999999996</v>
      </c>
      <c r="E48" s="7">
        <f>+D48/1.7*100</f>
        <v>241.17647058823528</v>
      </c>
      <c r="F48" s="7">
        <v>6.5</v>
      </c>
      <c r="G48" s="7">
        <f t="shared" si="0"/>
        <v>158.53658536585365</v>
      </c>
      <c r="H48" s="7">
        <v>10.199999999999999</v>
      </c>
      <c r="I48" s="7">
        <f t="shared" si="1"/>
        <v>156.92307692307693</v>
      </c>
      <c r="J48" s="7">
        <v>16.3</v>
      </c>
      <c r="K48" s="7">
        <f t="shared" si="2"/>
        <v>159.80392156862746</v>
      </c>
    </row>
    <row r="49" spans="1:11" ht="33" customHeight="1" x14ac:dyDescent="0.25">
      <c r="A49" s="70" t="s">
        <v>145</v>
      </c>
      <c r="B49" s="94" t="s">
        <v>42</v>
      </c>
      <c r="C49" s="51" t="s">
        <v>4</v>
      </c>
      <c r="D49" s="7">
        <v>32.5</v>
      </c>
      <c r="E49" s="7">
        <f>+D49/19.6*100</f>
        <v>165.81632653061223</v>
      </c>
      <c r="F49" s="7">
        <v>42.1</v>
      </c>
      <c r="G49" s="7">
        <f t="shared" si="0"/>
        <v>129.53846153846155</v>
      </c>
      <c r="H49" s="7">
        <v>46.5</v>
      </c>
      <c r="I49" s="7">
        <f t="shared" si="1"/>
        <v>110.45130641330165</v>
      </c>
      <c r="J49" s="7">
        <v>52.1</v>
      </c>
      <c r="K49" s="7">
        <f t="shared" si="2"/>
        <v>112.04301075268816</v>
      </c>
    </row>
    <row r="50" spans="1:11" ht="34.5" x14ac:dyDescent="0.25">
      <c r="A50" s="70"/>
      <c r="B50" s="94"/>
      <c r="C50" s="51" t="s">
        <v>39</v>
      </c>
      <c r="D50" s="7">
        <v>86.7</v>
      </c>
      <c r="E50" s="7">
        <f>+D50/51.9*100</f>
        <v>167.05202312138729</v>
      </c>
      <c r="F50" s="7">
        <v>112.9</v>
      </c>
      <c r="G50" s="7">
        <f t="shared" si="0"/>
        <v>130.21914648212228</v>
      </c>
      <c r="H50" s="7">
        <v>125.1</v>
      </c>
      <c r="I50" s="7">
        <f t="shared" si="1"/>
        <v>110.80602302922939</v>
      </c>
      <c r="J50" s="7">
        <v>143.80000000000001</v>
      </c>
      <c r="K50" s="7">
        <f t="shared" si="2"/>
        <v>114.94804156674661</v>
      </c>
    </row>
    <row r="51" spans="1:11" ht="34.5" x14ac:dyDescent="0.25">
      <c r="A51" s="62" t="s">
        <v>146</v>
      </c>
      <c r="B51" s="100" t="s">
        <v>43</v>
      </c>
      <c r="C51" s="51" t="s">
        <v>4</v>
      </c>
      <c r="D51" s="7">
        <v>1.1000000000000001</v>
      </c>
      <c r="E51" s="7">
        <f>+D51/0.5*100</f>
        <v>220.00000000000003</v>
      </c>
      <c r="F51" s="7">
        <v>1.4</v>
      </c>
      <c r="G51" s="7">
        <f t="shared" si="0"/>
        <v>127.27272727272725</v>
      </c>
      <c r="H51" s="7">
        <v>1.6</v>
      </c>
      <c r="I51" s="7">
        <f t="shared" si="1"/>
        <v>114.28571428571431</v>
      </c>
      <c r="J51" s="7">
        <v>1.8</v>
      </c>
      <c r="K51" s="7">
        <f t="shared" si="2"/>
        <v>112.5</v>
      </c>
    </row>
    <row r="52" spans="1:11" ht="34.5" x14ac:dyDescent="0.25">
      <c r="A52" s="63"/>
      <c r="B52" s="101"/>
      <c r="C52" s="51" t="s">
        <v>39</v>
      </c>
      <c r="D52" s="7">
        <v>3.8</v>
      </c>
      <c r="E52" s="7">
        <f>+D52/1.7*100</f>
        <v>223.52941176470588</v>
      </c>
      <c r="F52" s="7">
        <v>4.9000000000000004</v>
      </c>
      <c r="G52" s="7">
        <f t="shared" si="0"/>
        <v>128.94736842105266</v>
      </c>
      <c r="H52" s="7">
        <v>5.5</v>
      </c>
      <c r="I52" s="7">
        <f t="shared" si="1"/>
        <v>112.24489795918366</v>
      </c>
      <c r="J52" s="7">
        <v>6.4</v>
      </c>
      <c r="K52" s="7">
        <f t="shared" si="2"/>
        <v>116.36363636363637</v>
      </c>
    </row>
    <row r="53" spans="1:11" ht="27" customHeight="1" x14ac:dyDescent="0.25">
      <c r="A53" s="95" t="s">
        <v>15</v>
      </c>
      <c r="B53" s="96"/>
      <c r="C53" s="96"/>
      <c r="D53" s="96"/>
      <c r="E53" s="96"/>
      <c r="F53" s="96"/>
      <c r="G53" s="96"/>
      <c r="H53" s="96"/>
      <c r="I53" s="96"/>
      <c r="J53" s="96"/>
      <c r="K53" s="97"/>
    </row>
    <row r="54" spans="1:11" ht="34.5" x14ac:dyDescent="0.25">
      <c r="A54" s="70" t="s">
        <v>147</v>
      </c>
      <c r="B54" s="94" t="s">
        <v>45</v>
      </c>
      <c r="C54" s="52" t="s">
        <v>4</v>
      </c>
      <c r="D54" s="7">
        <v>500.5</v>
      </c>
      <c r="E54" s="7">
        <f>+D54/493.8*100</f>
        <v>101.35682462535441</v>
      </c>
      <c r="F54" s="7">
        <v>516.29999999999995</v>
      </c>
      <c r="G54" s="7">
        <f>+F54/D54*100</f>
        <v>103.15684315684315</v>
      </c>
      <c r="H54" s="7">
        <v>525.79999999999995</v>
      </c>
      <c r="I54" s="7">
        <f>+H54/F54*100</f>
        <v>101.84001549486732</v>
      </c>
      <c r="J54" s="7">
        <v>532.29999999999995</v>
      </c>
      <c r="K54" s="7">
        <f>+J54/H54*100</f>
        <v>101.23621148725752</v>
      </c>
    </row>
    <row r="55" spans="1:11" ht="34.5" x14ac:dyDescent="0.25">
      <c r="A55" s="70"/>
      <c r="B55" s="94"/>
      <c r="C55" s="57" t="s">
        <v>39</v>
      </c>
      <c r="D55" s="7">
        <f>D54*149.6/493.8</f>
        <v>151.62980963953018</v>
      </c>
      <c r="E55" s="7">
        <f>+D55/149.6*100</f>
        <v>101.35682462535441</v>
      </c>
      <c r="F55" s="7">
        <f>F54*149.6/493.8</f>
        <v>156.41652490886997</v>
      </c>
      <c r="G55" s="7">
        <f t="shared" ref="G55:G84" si="3">+F55/D55*100</f>
        <v>103.15684315684315</v>
      </c>
      <c r="H55" s="7">
        <f>H54*149.6/493.8</f>
        <v>159.29461320372619</v>
      </c>
      <c r="I55" s="7">
        <f t="shared" ref="I55:I85" si="4">+H55/F55*100</f>
        <v>101.84001549486732</v>
      </c>
      <c r="J55" s="7">
        <f>J54*149.6/493.8</f>
        <v>161.26383151073307</v>
      </c>
      <c r="K55" s="7">
        <f t="shared" ref="K55:K84" si="5">+J55/H55*100</f>
        <v>101.23621148725752</v>
      </c>
    </row>
    <row r="56" spans="1:11" s="2" customFormat="1" ht="37.5" customHeight="1" x14ac:dyDescent="0.25">
      <c r="A56" s="70" t="s">
        <v>148</v>
      </c>
      <c r="B56" s="94" t="s">
        <v>241</v>
      </c>
      <c r="C56" s="52" t="s">
        <v>4</v>
      </c>
      <c r="D56" s="7">
        <v>11.2</v>
      </c>
      <c r="E56" s="7">
        <v>106.66666666666667</v>
      </c>
      <c r="F56" s="7">
        <v>11.8</v>
      </c>
      <c r="G56" s="7">
        <v>105.35714285714286</v>
      </c>
      <c r="H56" s="7">
        <v>12.5</v>
      </c>
      <c r="I56" s="7">
        <v>105.93220338983049</v>
      </c>
      <c r="J56" s="7">
        <v>13</v>
      </c>
      <c r="K56" s="7">
        <v>104</v>
      </c>
    </row>
    <row r="57" spans="1:11" ht="41.25" customHeight="1" x14ac:dyDescent="0.25">
      <c r="A57" s="70"/>
      <c r="B57" s="94"/>
      <c r="C57" s="57" t="s">
        <v>39</v>
      </c>
      <c r="D57" s="7">
        <v>35.200000000000003</v>
      </c>
      <c r="E57" s="7">
        <v>103.2258064516129</v>
      </c>
      <c r="F57" s="7">
        <v>36.799999999999997</v>
      </c>
      <c r="G57" s="7">
        <v>104.54545454545452</v>
      </c>
      <c r="H57" s="7">
        <v>38.4</v>
      </c>
      <c r="I57" s="7">
        <v>104.34782608695652</v>
      </c>
      <c r="J57" s="7">
        <v>40</v>
      </c>
      <c r="K57" s="7">
        <v>104.16666666666667</v>
      </c>
    </row>
    <row r="58" spans="1:11" s="2" customFormat="1" ht="36.75" customHeight="1" x14ac:dyDescent="0.25">
      <c r="A58" s="70" t="s">
        <v>149</v>
      </c>
      <c r="B58" s="94" t="s">
        <v>47</v>
      </c>
      <c r="C58" s="52" t="s">
        <v>4</v>
      </c>
      <c r="D58" s="7">
        <v>10.9</v>
      </c>
      <c r="E58" s="7">
        <f>+D58/15.2*100</f>
        <v>71.71052631578948</v>
      </c>
      <c r="F58" s="7">
        <v>7.5</v>
      </c>
      <c r="G58" s="7">
        <f t="shared" si="3"/>
        <v>68.807339449541288</v>
      </c>
      <c r="H58" s="7">
        <v>5.0999999999999996</v>
      </c>
      <c r="I58" s="7">
        <f t="shared" si="4"/>
        <v>68</v>
      </c>
      <c r="J58" s="7">
        <v>3.4</v>
      </c>
      <c r="K58" s="7">
        <f t="shared" si="5"/>
        <v>66.666666666666671</v>
      </c>
    </row>
    <row r="59" spans="1:11" ht="37.5" customHeight="1" x14ac:dyDescent="0.25">
      <c r="A59" s="70"/>
      <c r="B59" s="94"/>
      <c r="C59" s="57" t="s">
        <v>39</v>
      </c>
      <c r="D59" s="7">
        <v>16.8</v>
      </c>
      <c r="E59" s="7">
        <f>+D59/23.3*100</f>
        <v>72.103004291845494</v>
      </c>
      <c r="F59" s="7">
        <v>11.9</v>
      </c>
      <c r="G59" s="7">
        <f t="shared" si="3"/>
        <v>70.833333333333343</v>
      </c>
      <c r="H59" s="7">
        <v>8.1999999999999993</v>
      </c>
      <c r="I59" s="7">
        <f t="shared" si="4"/>
        <v>68.907563025210067</v>
      </c>
      <c r="J59" s="7">
        <v>5.9</v>
      </c>
      <c r="K59" s="7">
        <f t="shared" si="5"/>
        <v>71.951219512195124</v>
      </c>
    </row>
    <row r="60" spans="1:11" ht="34.5" x14ac:dyDescent="0.25">
      <c r="A60" s="70" t="s">
        <v>150</v>
      </c>
      <c r="B60" s="94" t="s">
        <v>48</v>
      </c>
      <c r="C60" s="52" t="s">
        <v>4</v>
      </c>
      <c r="D60" s="7">
        <v>5.0999999999999996</v>
      </c>
      <c r="E60" s="7">
        <f>+D60/4.1*100</f>
        <v>124.39024390243902</v>
      </c>
      <c r="F60" s="7">
        <v>4.8</v>
      </c>
      <c r="G60" s="7">
        <f t="shared" si="3"/>
        <v>94.117647058823522</v>
      </c>
      <c r="H60" s="7">
        <v>4.5</v>
      </c>
      <c r="I60" s="7">
        <f t="shared" si="4"/>
        <v>93.75</v>
      </c>
      <c r="J60" s="7">
        <v>3.9</v>
      </c>
      <c r="K60" s="7">
        <f t="shared" si="5"/>
        <v>86.666666666666671</v>
      </c>
    </row>
    <row r="61" spans="1:11" ht="35.25" customHeight="1" x14ac:dyDescent="0.25">
      <c r="A61" s="70"/>
      <c r="B61" s="94"/>
      <c r="C61" s="57" t="s">
        <v>39</v>
      </c>
      <c r="D61" s="7">
        <v>14.6</v>
      </c>
      <c r="E61" s="7">
        <f>+D61/11.6*100</f>
        <v>125.86206896551724</v>
      </c>
      <c r="F61" s="7">
        <v>13.8</v>
      </c>
      <c r="G61" s="7">
        <f t="shared" si="3"/>
        <v>94.520547945205493</v>
      </c>
      <c r="H61" s="7">
        <v>13.1</v>
      </c>
      <c r="I61" s="7">
        <f t="shared" si="4"/>
        <v>94.927536231884048</v>
      </c>
      <c r="J61" s="7">
        <v>11.8</v>
      </c>
      <c r="K61" s="7">
        <f t="shared" si="5"/>
        <v>90.076335877862604</v>
      </c>
    </row>
    <row r="62" spans="1:11" ht="39" customHeight="1" x14ac:dyDescent="0.25">
      <c r="A62" s="70" t="s">
        <v>151</v>
      </c>
      <c r="B62" s="94" t="s">
        <v>49</v>
      </c>
      <c r="C62" s="52" t="s">
        <v>4</v>
      </c>
      <c r="D62" s="7">
        <v>9.1999999999999993</v>
      </c>
      <c r="E62" s="7">
        <f>+D62/9.9*100</f>
        <v>92.929292929292913</v>
      </c>
      <c r="F62" s="7">
        <v>9.1</v>
      </c>
      <c r="G62" s="7">
        <f t="shared" si="3"/>
        <v>98.913043478260875</v>
      </c>
      <c r="H62" s="7">
        <v>8.5</v>
      </c>
      <c r="I62" s="7">
        <f t="shared" si="4"/>
        <v>93.406593406593402</v>
      </c>
      <c r="J62" s="7">
        <v>7.9</v>
      </c>
      <c r="K62" s="7">
        <f t="shared" si="5"/>
        <v>92.941176470588232</v>
      </c>
    </row>
    <row r="63" spans="1:11" ht="33.75" customHeight="1" x14ac:dyDescent="0.25">
      <c r="A63" s="70"/>
      <c r="B63" s="94"/>
      <c r="C63" s="57" t="s">
        <v>39</v>
      </c>
      <c r="D63" s="7">
        <v>16.7</v>
      </c>
      <c r="E63" s="7">
        <f>+D63/17.9*100</f>
        <v>93.296089385474872</v>
      </c>
      <c r="F63" s="7">
        <v>16.899999999999999</v>
      </c>
      <c r="G63" s="7">
        <f t="shared" si="3"/>
        <v>101.19760479041915</v>
      </c>
      <c r="H63" s="7">
        <v>15.8</v>
      </c>
      <c r="I63" s="7">
        <f t="shared" si="4"/>
        <v>93.491124260355036</v>
      </c>
      <c r="J63" s="7">
        <v>14.9</v>
      </c>
      <c r="K63" s="7">
        <f t="shared" si="5"/>
        <v>94.303797468354432</v>
      </c>
    </row>
    <row r="64" spans="1:11" ht="37.5" customHeight="1" x14ac:dyDescent="0.25">
      <c r="A64" s="70" t="s">
        <v>152</v>
      </c>
      <c r="B64" s="94" t="s">
        <v>16</v>
      </c>
      <c r="C64" s="52" t="s">
        <v>4</v>
      </c>
      <c r="D64" s="7">
        <v>145.4</v>
      </c>
      <c r="E64" s="7">
        <f>+D64/104.8*100</f>
        <v>138.74045801526717</v>
      </c>
      <c r="F64" s="7">
        <v>175.3</v>
      </c>
      <c r="G64" s="7">
        <f t="shared" si="3"/>
        <v>120.56396148555709</v>
      </c>
      <c r="H64" s="7">
        <v>216.5</v>
      </c>
      <c r="I64" s="7">
        <f t="shared" si="4"/>
        <v>123.50256702795208</v>
      </c>
      <c r="J64" s="7">
        <v>281.89999999999998</v>
      </c>
      <c r="K64" s="7">
        <f t="shared" si="5"/>
        <v>130.20785219399536</v>
      </c>
    </row>
    <row r="65" spans="1:11" ht="33" customHeight="1" x14ac:dyDescent="0.25">
      <c r="A65" s="70"/>
      <c r="B65" s="94"/>
      <c r="C65" s="57" t="s">
        <v>39</v>
      </c>
      <c r="D65" s="7">
        <v>75.8</v>
      </c>
      <c r="E65" s="7">
        <f>+D65/54.5*100</f>
        <v>139.08256880733944</v>
      </c>
      <c r="F65" s="7">
        <v>92.2</v>
      </c>
      <c r="G65" s="7">
        <f t="shared" si="3"/>
        <v>121.6358839050132</v>
      </c>
      <c r="H65" s="7">
        <v>114.6</v>
      </c>
      <c r="I65" s="7">
        <f t="shared" si="4"/>
        <v>124.29501084598698</v>
      </c>
      <c r="J65" s="7">
        <v>150.6</v>
      </c>
      <c r="K65" s="7">
        <f t="shared" si="5"/>
        <v>131.41361256544505</v>
      </c>
    </row>
    <row r="66" spans="1:11" ht="39" customHeight="1" x14ac:dyDescent="0.25">
      <c r="A66" s="70" t="s">
        <v>153</v>
      </c>
      <c r="B66" s="94" t="s">
        <v>50</v>
      </c>
      <c r="C66" s="52" t="s">
        <v>4</v>
      </c>
      <c r="D66" s="7">
        <v>420</v>
      </c>
      <c r="E66" s="7">
        <f>+D66/410.5*100</f>
        <v>102.31425091352008</v>
      </c>
      <c r="F66" s="7">
        <v>435</v>
      </c>
      <c r="G66" s="7">
        <f t="shared" si="3"/>
        <v>103.57142857142858</v>
      </c>
      <c r="H66" s="7">
        <v>442</v>
      </c>
      <c r="I66" s="7">
        <f t="shared" si="4"/>
        <v>101.60919540229885</v>
      </c>
      <c r="J66" s="7">
        <v>458</v>
      </c>
      <c r="K66" s="7">
        <f t="shared" si="5"/>
        <v>103.61990950226246</v>
      </c>
    </row>
    <row r="67" spans="1:11" ht="36.75" customHeight="1" x14ac:dyDescent="0.25">
      <c r="A67" s="70"/>
      <c r="B67" s="94"/>
      <c r="C67" s="57" t="s">
        <v>39</v>
      </c>
      <c r="D67" s="7">
        <v>220.6</v>
      </c>
      <c r="E67" s="7">
        <f>+D67/211.7*100</f>
        <v>104.20406235238546</v>
      </c>
      <c r="F67" s="7">
        <v>229.3</v>
      </c>
      <c r="G67" s="7">
        <f t="shared" si="3"/>
        <v>103.94378966455122</v>
      </c>
      <c r="H67" s="7">
        <v>233.6</v>
      </c>
      <c r="I67" s="7">
        <f t="shared" si="4"/>
        <v>101.87527256868729</v>
      </c>
      <c r="J67" s="7">
        <v>242.6</v>
      </c>
      <c r="K67" s="7">
        <f t="shared" si="5"/>
        <v>103.85273972602739</v>
      </c>
    </row>
    <row r="68" spans="1:11" ht="27.75" customHeight="1" x14ac:dyDescent="0.25">
      <c r="A68" s="70" t="s">
        <v>154</v>
      </c>
      <c r="B68" s="94" t="s">
        <v>17</v>
      </c>
      <c r="C68" s="58" t="s">
        <v>53</v>
      </c>
      <c r="D68" s="7">
        <v>255</v>
      </c>
      <c r="E68" s="7">
        <f>+D68/236.1*100</f>
        <v>108.00508259212198</v>
      </c>
      <c r="F68" s="7">
        <v>280</v>
      </c>
      <c r="G68" s="7">
        <f t="shared" si="3"/>
        <v>109.80392156862746</v>
      </c>
      <c r="H68" s="7">
        <v>305</v>
      </c>
      <c r="I68" s="7">
        <f t="shared" si="4"/>
        <v>108.92857142857142</v>
      </c>
      <c r="J68" s="7">
        <v>340</v>
      </c>
      <c r="K68" s="7">
        <f t="shared" si="5"/>
        <v>111.47540983606557</v>
      </c>
    </row>
    <row r="69" spans="1:11" ht="35.25" customHeight="1" x14ac:dyDescent="0.25">
      <c r="A69" s="70"/>
      <c r="B69" s="94"/>
      <c r="C69" s="57" t="s">
        <v>39</v>
      </c>
      <c r="D69" s="7">
        <v>33.1</v>
      </c>
      <c r="E69" s="7">
        <f>+D69/29.9*100</f>
        <v>110.70234113712377</v>
      </c>
      <c r="F69" s="7">
        <v>36.5</v>
      </c>
      <c r="G69" s="7">
        <f t="shared" si="3"/>
        <v>110.27190332326285</v>
      </c>
      <c r="H69" s="7">
        <v>39.799999999999997</v>
      </c>
      <c r="I69" s="7">
        <f t="shared" si="4"/>
        <v>109.04109589041096</v>
      </c>
      <c r="J69" s="7">
        <v>45.8</v>
      </c>
      <c r="K69" s="7">
        <f t="shared" si="5"/>
        <v>115.07537688442211</v>
      </c>
    </row>
    <row r="70" spans="1:11" ht="32.25" customHeight="1" x14ac:dyDescent="0.25">
      <c r="A70" s="70" t="s">
        <v>155</v>
      </c>
      <c r="B70" s="90" t="s">
        <v>85</v>
      </c>
      <c r="C70" s="52" t="s">
        <v>4</v>
      </c>
      <c r="D70" s="7">
        <v>622.4</v>
      </c>
      <c r="E70" s="7">
        <f>+D70/618.8*100</f>
        <v>100.58177117000646</v>
      </c>
      <c r="F70" s="7">
        <v>635</v>
      </c>
      <c r="G70" s="7">
        <f t="shared" si="3"/>
        <v>102.02442159383034</v>
      </c>
      <c r="H70" s="7">
        <v>651</v>
      </c>
      <c r="I70" s="7">
        <f t="shared" si="4"/>
        <v>102.51968503937007</v>
      </c>
      <c r="J70" s="7">
        <v>673</v>
      </c>
      <c r="K70" s="7">
        <f t="shared" si="5"/>
        <v>103.37941628264208</v>
      </c>
    </row>
    <row r="71" spans="1:11" ht="31.5" customHeight="1" x14ac:dyDescent="0.25">
      <c r="A71" s="70"/>
      <c r="B71" s="90"/>
      <c r="C71" s="57" t="s">
        <v>39</v>
      </c>
      <c r="D71" s="7">
        <v>416.2</v>
      </c>
      <c r="E71" s="7">
        <f>+D71/412.6*100</f>
        <v>100.87251575375666</v>
      </c>
      <c r="F71" s="7">
        <v>425.4</v>
      </c>
      <c r="G71" s="7">
        <f t="shared" si="3"/>
        <v>102.21047573282075</v>
      </c>
      <c r="H71" s="7">
        <v>436.5</v>
      </c>
      <c r="I71" s="7">
        <f t="shared" si="4"/>
        <v>102.60930888575459</v>
      </c>
      <c r="J71" s="7">
        <v>452.7</v>
      </c>
      <c r="K71" s="7">
        <f t="shared" si="5"/>
        <v>103.71134020618555</v>
      </c>
    </row>
    <row r="72" spans="1:11" ht="33" customHeight="1" x14ac:dyDescent="0.25">
      <c r="A72" s="70" t="s">
        <v>156</v>
      </c>
      <c r="B72" s="98" t="s">
        <v>86</v>
      </c>
      <c r="C72" s="52" t="s">
        <v>4</v>
      </c>
      <c r="D72" s="7">
        <v>250.4</v>
      </c>
      <c r="E72" s="7">
        <f>+D72/242.4*100</f>
        <v>103.30033003300329</v>
      </c>
      <c r="F72" s="7">
        <v>267</v>
      </c>
      <c r="G72" s="7">
        <f t="shared" si="3"/>
        <v>106.62939297124601</v>
      </c>
      <c r="H72" s="7">
        <v>276</v>
      </c>
      <c r="I72" s="7">
        <f t="shared" si="4"/>
        <v>103.37078651685394</v>
      </c>
      <c r="J72" s="7">
        <v>284</v>
      </c>
      <c r="K72" s="7">
        <f t="shared" si="5"/>
        <v>102.89855072463767</v>
      </c>
    </row>
    <row r="73" spans="1:11" ht="30.75" customHeight="1" x14ac:dyDescent="0.25">
      <c r="A73" s="70"/>
      <c r="B73" s="98"/>
      <c r="C73" s="57" t="s">
        <v>39</v>
      </c>
      <c r="D73" s="7">
        <v>167.5</v>
      </c>
      <c r="E73" s="7">
        <f>+D73/161.2*100</f>
        <v>103.90818858560795</v>
      </c>
      <c r="F73" s="7">
        <v>179.6</v>
      </c>
      <c r="G73" s="7">
        <f t="shared" si="3"/>
        <v>107.22388059701493</v>
      </c>
      <c r="H73" s="7">
        <v>186.5</v>
      </c>
      <c r="I73" s="7">
        <f t="shared" si="4"/>
        <v>103.84187082405344</v>
      </c>
      <c r="J73" s="7">
        <v>195.9</v>
      </c>
      <c r="K73" s="7">
        <f t="shared" si="5"/>
        <v>105.04021447721179</v>
      </c>
    </row>
    <row r="74" spans="1:11" ht="30.75" customHeight="1" x14ac:dyDescent="0.25">
      <c r="A74" s="70" t="s">
        <v>157</v>
      </c>
      <c r="B74" s="94" t="s">
        <v>87</v>
      </c>
      <c r="C74" s="52" t="s">
        <v>4</v>
      </c>
      <c r="D74" s="7">
        <v>350.6</v>
      </c>
      <c r="E74" s="7">
        <f>+D74/345.1*100</f>
        <v>101.59374094465372</v>
      </c>
      <c r="F74" s="7">
        <v>359.6</v>
      </c>
      <c r="G74" s="7">
        <f t="shared" si="3"/>
        <v>102.56702795208214</v>
      </c>
      <c r="H74" s="7">
        <v>372.8</v>
      </c>
      <c r="I74" s="7">
        <f t="shared" si="4"/>
        <v>103.67074527252502</v>
      </c>
      <c r="J74" s="7">
        <v>388.4</v>
      </c>
      <c r="K74" s="7">
        <f t="shared" si="5"/>
        <v>104.18454935622317</v>
      </c>
    </row>
    <row r="75" spans="1:11" ht="35.25" customHeight="1" x14ac:dyDescent="0.25">
      <c r="A75" s="70"/>
      <c r="B75" s="94"/>
      <c r="C75" s="57" t="s">
        <v>39</v>
      </c>
      <c r="D75" s="7">
        <v>221.8</v>
      </c>
      <c r="E75" s="7">
        <f>+D75/217.3*100</f>
        <v>102.07086976530142</v>
      </c>
      <c r="F75" s="7">
        <v>228.4</v>
      </c>
      <c r="G75" s="7">
        <f t="shared" si="3"/>
        <v>102.97565374211</v>
      </c>
      <c r="H75" s="7">
        <v>238.7</v>
      </c>
      <c r="I75" s="7">
        <f t="shared" si="4"/>
        <v>104.50963222416812</v>
      </c>
      <c r="J75" s="7">
        <v>250.6</v>
      </c>
      <c r="K75" s="7">
        <f t="shared" si="5"/>
        <v>104.98533724340176</v>
      </c>
    </row>
    <row r="76" spans="1:11" ht="32.25" customHeight="1" x14ac:dyDescent="0.25">
      <c r="A76" s="70" t="s">
        <v>158</v>
      </c>
      <c r="B76" s="94" t="s">
        <v>18</v>
      </c>
      <c r="C76" s="52" t="s">
        <v>4</v>
      </c>
      <c r="D76" s="7">
        <v>1078</v>
      </c>
      <c r="E76" s="7">
        <f>+D76/1028.1*100</f>
        <v>104.85361346172553</v>
      </c>
      <c r="F76" s="7">
        <v>1135</v>
      </c>
      <c r="G76" s="7">
        <f t="shared" si="3"/>
        <v>105.28756957328386</v>
      </c>
      <c r="H76" s="7">
        <v>1198</v>
      </c>
      <c r="I76" s="7">
        <f t="shared" si="4"/>
        <v>105.55066079295155</v>
      </c>
      <c r="J76" s="7">
        <v>1270</v>
      </c>
      <c r="K76" s="7">
        <f t="shared" si="5"/>
        <v>106.01001669449082</v>
      </c>
    </row>
    <row r="77" spans="1:11" ht="30" customHeight="1" x14ac:dyDescent="0.25">
      <c r="A77" s="70"/>
      <c r="B77" s="94"/>
      <c r="C77" s="57" t="s">
        <v>39</v>
      </c>
      <c r="D77" s="7">
        <v>279.8</v>
      </c>
      <c r="E77" s="7">
        <f>+D77/265.9*100</f>
        <v>105.22752914629561</v>
      </c>
      <c r="F77" s="7">
        <v>295.10000000000002</v>
      </c>
      <c r="G77" s="7">
        <f t="shared" si="3"/>
        <v>105.46819156540386</v>
      </c>
      <c r="H77" s="7">
        <v>312.8</v>
      </c>
      <c r="I77" s="7">
        <f t="shared" si="4"/>
        <v>105.99796679091833</v>
      </c>
      <c r="J77" s="7">
        <v>334.5</v>
      </c>
      <c r="K77" s="7">
        <f t="shared" si="5"/>
        <v>106.93734015345268</v>
      </c>
    </row>
    <row r="78" spans="1:11" ht="32.25" customHeight="1" x14ac:dyDescent="0.25">
      <c r="A78" s="70" t="s">
        <v>159</v>
      </c>
      <c r="B78" s="94" t="s">
        <v>19</v>
      </c>
      <c r="C78" s="52" t="s">
        <v>4</v>
      </c>
      <c r="D78" s="7">
        <v>56.2</v>
      </c>
      <c r="E78" s="7">
        <f>+D78/56.7*100</f>
        <v>99.118165784832442</v>
      </c>
      <c r="F78" s="7">
        <v>54.1</v>
      </c>
      <c r="G78" s="7">
        <f t="shared" si="3"/>
        <v>96.263345195729528</v>
      </c>
      <c r="H78" s="7">
        <v>50.1</v>
      </c>
      <c r="I78" s="7">
        <f t="shared" si="4"/>
        <v>92.606284658040664</v>
      </c>
      <c r="J78" s="7">
        <v>48.1</v>
      </c>
      <c r="K78" s="7">
        <f t="shared" si="5"/>
        <v>96.007984031936132</v>
      </c>
    </row>
    <row r="79" spans="1:11" ht="30" customHeight="1" x14ac:dyDescent="0.25">
      <c r="A79" s="70"/>
      <c r="B79" s="94"/>
      <c r="C79" s="57" t="s">
        <v>39</v>
      </c>
      <c r="D79" s="7">
        <v>16.2</v>
      </c>
      <c r="E79" s="7">
        <f>+D79/16.1*100</f>
        <v>100.62111801242236</v>
      </c>
      <c r="F79" s="7">
        <v>15.7</v>
      </c>
      <c r="G79" s="7">
        <f t="shared" si="3"/>
        <v>96.913580246913583</v>
      </c>
      <c r="H79" s="7">
        <v>14.6</v>
      </c>
      <c r="I79" s="7">
        <f t="shared" si="4"/>
        <v>92.99363057324841</v>
      </c>
      <c r="J79" s="7">
        <v>14.2</v>
      </c>
      <c r="K79" s="7">
        <f t="shared" si="5"/>
        <v>97.260273972602747</v>
      </c>
    </row>
    <row r="80" spans="1:11" ht="36.75" customHeight="1" x14ac:dyDescent="0.25">
      <c r="A80" s="70" t="s">
        <v>160</v>
      </c>
      <c r="B80" s="94" t="s">
        <v>113</v>
      </c>
      <c r="C80" s="52" t="s">
        <v>4</v>
      </c>
      <c r="D80" s="7">
        <v>98</v>
      </c>
      <c r="E80" s="7">
        <f>+D80/92.6*100</f>
        <v>105.83153347732181</v>
      </c>
      <c r="F80" s="7">
        <v>96</v>
      </c>
      <c r="G80" s="7">
        <f t="shared" si="3"/>
        <v>97.959183673469383</v>
      </c>
      <c r="H80" s="7">
        <v>94</v>
      </c>
      <c r="I80" s="7">
        <f t="shared" si="4"/>
        <v>97.916666666666657</v>
      </c>
      <c r="J80" s="7">
        <v>92</v>
      </c>
      <c r="K80" s="7">
        <f t="shared" si="5"/>
        <v>97.872340425531917</v>
      </c>
    </row>
    <row r="81" spans="1:11" ht="30" customHeight="1" x14ac:dyDescent="0.25">
      <c r="A81" s="70"/>
      <c r="B81" s="94"/>
      <c r="C81" s="57" t="s">
        <v>39</v>
      </c>
      <c r="D81" s="7">
        <v>115.8</v>
      </c>
      <c r="E81" s="7">
        <f>+D81/109*100</f>
        <v>106.23853211009174</v>
      </c>
      <c r="F81" s="7">
        <v>113.9</v>
      </c>
      <c r="G81" s="7">
        <f t="shared" si="3"/>
        <v>98.359240069084635</v>
      </c>
      <c r="H81" s="7">
        <v>111.6</v>
      </c>
      <c r="I81" s="7">
        <f t="shared" si="4"/>
        <v>97.980684811237921</v>
      </c>
      <c r="J81" s="7">
        <v>109.8</v>
      </c>
      <c r="K81" s="7">
        <f t="shared" si="5"/>
        <v>98.387096774193552</v>
      </c>
    </row>
    <row r="82" spans="1:11" ht="36.75" customHeight="1" x14ac:dyDescent="0.25">
      <c r="A82" s="70" t="s">
        <v>161</v>
      </c>
      <c r="B82" s="94" t="s">
        <v>51</v>
      </c>
      <c r="C82" s="52" t="s">
        <v>4</v>
      </c>
      <c r="D82" s="7">
        <v>175</v>
      </c>
      <c r="E82" s="7">
        <f>+D82/162.1*100</f>
        <v>107.95805058605798</v>
      </c>
      <c r="F82" s="7">
        <v>190</v>
      </c>
      <c r="G82" s="7">
        <f t="shared" si="3"/>
        <v>108.57142857142857</v>
      </c>
      <c r="H82" s="7">
        <v>205</v>
      </c>
      <c r="I82" s="7">
        <f t="shared" si="4"/>
        <v>107.89473684210526</v>
      </c>
      <c r="J82" s="7">
        <v>224.2</v>
      </c>
      <c r="K82" s="7">
        <f t="shared" si="5"/>
        <v>109.36585365853657</v>
      </c>
    </row>
    <row r="83" spans="1:11" ht="30" customHeight="1" x14ac:dyDescent="0.25">
      <c r="A83" s="70"/>
      <c r="B83" s="94"/>
      <c r="C83" s="57" t="s">
        <v>39</v>
      </c>
      <c r="D83" s="7">
        <v>93.5</v>
      </c>
      <c r="E83" s="7">
        <f>+D83/86.2*100</f>
        <v>108.46867749419953</v>
      </c>
      <c r="F83" s="7">
        <v>102.4</v>
      </c>
      <c r="G83" s="7">
        <f t="shared" si="3"/>
        <v>109.5187165775401</v>
      </c>
      <c r="H83" s="7">
        <v>110.8</v>
      </c>
      <c r="I83" s="7">
        <f t="shared" si="4"/>
        <v>108.203125</v>
      </c>
      <c r="J83" s="7">
        <v>122.4</v>
      </c>
      <c r="K83" s="7">
        <f t="shared" si="5"/>
        <v>110.4693140794224</v>
      </c>
    </row>
    <row r="84" spans="1:11" ht="38.25" customHeight="1" x14ac:dyDescent="0.25">
      <c r="A84" s="70" t="s">
        <v>162</v>
      </c>
      <c r="B84" s="94" t="s">
        <v>52</v>
      </c>
      <c r="C84" s="52" t="s">
        <v>4</v>
      </c>
      <c r="D84" s="7">
        <v>240</v>
      </c>
      <c r="E84" s="7">
        <f>+D84/197.6*100</f>
        <v>121.45748987854252</v>
      </c>
      <c r="F84" s="7">
        <v>260</v>
      </c>
      <c r="G84" s="7">
        <f t="shared" si="3"/>
        <v>108.33333333333333</v>
      </c>
      <c r="H84" s="7">
        <v>283</v>
      </c>
      <c r="I84" s="7">
        <f t="shared" si="4"/>
        <v>108.84615384615384</v>
      </c>
      <c r="J84" s="7">
        <v>309</v>
      </c>
      <c r="K84" s="7">
        <f t="shared" si="5"/>
        <v>109.18727915194346</v>
      </c>
    </row>
    <row r="85" spans="1:11" ht="29.25" customHeight="1" x14ac:dyDescent="0.25">
      <c r="A85" s="70"/>
      <c r="B85" s="94"/>
      <c r="C85" s="57" t="s">
        <v>39</v>
      </c>
      <c r="D85" s="7">
        <v>51.9</v>
      </c>
      <c r="E85" s="7">
        <f>+D85/42.1*100</f>
        <v>123.27790973871733</v>
      </c>
      <c r="F85" s="7">
        <v>56.8</v>
      </c>
      <c r="G85" s="7">
        <f>+F85/D85*100</f>
        <v>109.4412331406551</v>
      </c>
      <c r="H85" s="7">
        <v>62.3</v>
      </c>
      <c r="I85" s="7">
        <f t="shared" si="4"/>
        <v>109.6830985915493</v>
      </c>
      <c r="J85" s="7">
        <v>68.400000000000006</v>
      </c>
      <c r="K85" s="7">
        <f>+J85/H85*100</f>
        <v>109.79133226324238</v>
      </c>
    </row>
    <row r="86" spans="1:11" ht="27.75" customHeight="1" x14ac:dyDescent="0.25">
      <c r="A86" s="95" t="s">
        <v>54</v>
      </c>
      <c r="B86" s="96"/>
      <c r="C86" s="96"/>
      <c r="D86" s="96"/>
      <c r="E86" s="96"/>
      <c r="F86" s="96"/>
      <c r="G86" s="96"/>
      <c r="H86" s="96"/>
      <c r="I86" s="96"/>
      <c r="J86" s="96"/>
      <c r="K86" s="97"/>
    </row>
    <row r="87" spans="1:11" ht="54" x14ac:dyDescent="0.25">
      <c r="A87" s="25" t="s">
        <v>163</v>
      </c>
      <c r="B87" s="33" t="s">
        <v>56</v>
      </c>
      <c r="C87" s="52" t="s">
        <v>36</v>
      </c>
      <c r="D87" s="45">
        <v>15257.5</v>
      </c>
      <c r="E87" s="9">
        <v>103.39020952484211</v>
      </c>
      <c r="F87" s="45">
        <v>17299.099999999999</v>
      </c>
      <c r="G87" s="9">
        <v>113.38096018351629</v>
      </c>
      <c r="H87" s="15">
        <v>19000</v>
      </c>
      <c r="I87" s="9">
        <v>109.83230341462851</v>
      </c>
      <c r="J87" s="45">
        <v>21300.400000000001</v>
      </c>
      <c r="K87" s="13">
        <v>112.10736842105264</v>
      </c>
    </row>
    <row r="88" spans="1:11" ht="54" customHeight="1" x14ac:dyDescent="0.25">
      <c r="A88" s="25" t="s">
        <v>164</v>
      </c>
      <c r="B88" s="33" t="s">
        <v>244</v>
      </c>
      <c r="C88" s="52" t="s">
        <v>36</v>
      </c>
      <c r="D88" s="45">
        <v>4650</v>
      </c>
      <c r="E88" s="9">
        <v>76.119696176008375</v>
      </c>
      <c r="F88" s="45">
        <v>4900</v>
      </c>
      <c r="G88" s="9">
        <v>105.3763440860215</v>
      </c>
      <c r="H88" s="45">
        <v>5200</v>
      </c>
      <c r="I88" s="9">
        <v>106.12244897959184</v>
      </c>
      <c r="J88" s="45">
        <v>5600</v>
      </c>
      <c r="K88" s="13">
        <v>107.69230769230769</v>
      </c>
    </row>
    <row r="89" spans="1:11" ht="39" customHeight="1" x14ac:dyDescent="0.25">
      <c r="A89" s="25" t="s">
        <v>165</v>
      </c>
      <c r="B89" s="33" t="s">
        <v>215</v>
      </c>
      <c r="C89" s="43" t="s">
        <v>39</v>
      </c>
      <c r="D89" s="15">
        <v>894.21239999999989</v>
      </c>
      <c r="E89" s="45">
        <v>108.6</v>
      </c>
      <c r="F89" s="15">
        <v>972.00887879999993</v>
      </c>
      <c r="G89" s="9">
        <v>108.7</v>
      </c>
      <c r="H89" s="15">
        <v>1055.6016423767999</v>
      </c>
      <c r="I89" s="9">
        <v>108.6</v>
      </c>
      <c r="J89" s="9">
        <v>1182.273839462016</v>
      </c>
      <c r="K89" s="13">
        <v>112</v>
      </c>
    </row>
    <row r="90" spans="1:11" ht="23.25" customHeight="1" x14ac:dyDescent="0.25">
      <c r="A90" s="87" t="s">
        <v>217</v>
      </c>
      <c r="B90" s="88"/>
      <c r="C90" s="88"/>
      <c r="D90" s="88"/>
      <c r="E90" s="88"/>
      <c r="F90" s="88"/>
      <c r="G90" s="88"/>
      <c r="H90" s="88"/>
      <c r="I90" s="88"/>
      <c r="J90" s="88"/>
      <c r="K90" s="89"/>
    </row>
    <row r="91" spans="1:11" ht="24" customHeight="1" x14ac:dyDescent="0.25">
      <c r="A91" s="87" t="s">
        <v>2</v>
      </c>
      <c r="B91" s="88"/>
      <c r="C91" s="88"/>
      <c r="D91" s="88"/>
      <c r="E91" s="88"/>
      <c r="F91" s="88"/>
      <c r="G91" s="88"/>
      <c r="H91" s="88"/>
      <c r="I91" s="88"/>
      <c r="J91" s="88"/>
      <c r="K91" s="89"/>
    </row>
    <row r="92" spans="1:11" ht="30.75" customHeight="1" x14ac:dyDescent="0.25">
      <c r="A92" s="25" t="s">
        <v>166</v>
      </c>
      <c r="B92" s="42" t="s">
        <v>216</v>
      </c>
      <c r="C92" s="43" t="s">
        <v>44</v>
      </c>
      <c r="D92" s="44">
        <v>21437.1</v>
      </c>
      <c r="E92" s="38">
        <v>103.9</v>
      </c>
      <c r="F92" s="44">
        <v>22029.1</v>
      </c>
      <c r="G92" s="37">
        <f>+F92/D92*100</f>
        <v>102.76156756277668</v>
      </c>
      <c r="H92" s="44">
        <v>22786.3</v>
      </c>
      <c r="I92" s="37">
        <f>+H92/F92*100</f>
        <v>103.43727160891729</v>
      </c>
      <c r="J92" s="44">
        <v>23920.2</v>
      </c>
      <c r="K92" s="37">
        <f>+J92/H92*100</f>
        <v>104.9762357205865</v>
      </c>
    </row>
    <row r="93" spans="1:11" ht="33" customHeight="1" x14ac:dyDescent="0.25">
      <c r="A93" s="25" t="s">
        <v>167</v>
      </c>
      <c r="B93" s="42" t="s">
        <v>57</v>
      </c>
      <c r="C93" s="43" t="s">
        <v>4</v>
      </c>
      <c r="D93" s="9">
        <v>25.1</v>
      </c>
      <c r="E93" s="9">
        <v>102</v>
      </c>
      <c r="F93" s="9">
        <v>26.2</v>
      </c>
      <c r="G93" s="37">
        <f t="shared" ref="G93:G110" si="6">+F93/D93*100</f>
        <v>104.38247011952191</v>
      </c>
      <c r="H93" s="9">
        <v>26.8</v>
      </c>
      <c r="I93" s="37">
        <f t="shared" ref="I93:I110" si="7">+H93/F93*100</f>
        <v>102.29007633587787</v>
      </c>
      <c r="J93" s="9">
        <v>27.3</v>
      </c>
      <c r="K93" s="37">
        <f t="shared" ref="K93:K110" si="8">+J93/H93*100</f>
        <v>101.86567164179105</v>
      </c>
    </row>
    <row r="94" spans="1:11" ht="32.25" customHeight="1" x14ac:dyDescent="0.25">
      <c r="A94" s="25" t="s">
        <v>168</v>
      </c>
      <c r="B94" s="42" t="s">
        <v>17</v>
      </c>
      <c r="C94" s="43" t="s">
        <v>64</v>
      </c>
      <c r="D94" s="15">
        <v>810</v>
      </c>
      <c r="E94" s="9">
        <v>106.3</v>
      </c>
      <c r="F94" s="15">
        <v>950.3</v>
      </c>
      <c r="G94" s="37">
        <f t="shared" si="6"/>
        <v>117.32098765432097</v>
      </c>
      <c r="H94" s="15">
        <v>1020.4</v>
      </c>
      <c r="I94" s="37">
        <f t="shared" si="7"/>
        <v>107.37661791013365</v>
      </c>
      <c r="J94" s="15">
        <v>1130.7</v>
      </c>
      <c r="K94" s="37">
        <f t="shared" si="8"/>
        <v>110.80948647589182</v>
      </c>
    </row>
    <row r="95" spans="1:11" ht="33.75" customHeight="1" x14ac:dyDescent="0.25">
      <c r="A95" s="25" t="s">
        <v>169</v>
      </c>
      <c r="B95" s="42" t="s">
        <v>3</v>
      </c>
      <c r="C95" s="43" t="s">
        <v>4</v>
      </c>
      <c r="D95" s="15">
        <v>2160</v>
      </c>
      <c r="E95" s="9">
        <f>D95/2088.7*100</f>
        <v>103.41360654952842</v>
      </c>
      <c r="F95" s="15">
        <v>2250</v>
      </c>
      <c r="G95" s="37">
        <f t="shared" si="6"/>
        <v>104.16666666666667</v>
      </c>
      <c r="H95" s="15">
        <v>2320</v>
      </c>
      <c r="I95" s="37">
        <f t="shared" si="7"/>
        <v>103.11111111111111</v>
      </c>
      <c r="J95" s="15">
        <v>2430</v>
      </c>
      <c r="K95" s="37">
        <f t="shared" si="8"/>
        <v>104.74137931034481</v>
      </c>
    </row>
    <row r="96" spans="1:11" ht="30" customHeight="1" x14ac:dyDescent="0.25">
      <c r="A96" s="25" t="s">
        <v>170</v>
      </c>
      <c r="B96" s="42" t="s">
        <v>5</v>
      </c>
      <c r="C96" s="43" t="s">
        <v>4</v>
      </c>
      <c r="D96" s="9">
        <v>80.3</v>
      </c>
      <c r="E96" s="9">
        <v>132.69999999999999</v>
      </c>
      <c r="F96" s="9">
        <v>100.6</v>
      </c>
      <c r="G96" s="37">
        <f t="shared" si="6"/>
        <v>125.28019925280198</v>
      </c>
      <c r="H96" s="9">
        <v>125.9</v>
      </c>
      <c r="I96" s="37">
        <f t="shared" si="7"/>
        <v>125.14910536779324</v>
      </c>
      <c r="J96" s="9">
        <v>157.30000000000001</v>
      </c>
      <c r="K96" s="37">
        <f t="shared" si="8"/>
        <v>124.94042891183479</v>
      </c>
    </row>
    <row r="97" spans="1:12" ht="30" customHeight="1" x14ac:dyDescent="0.25">
      <c r="A97" s="25" t="s">
        <v>171</v>
      </c>
      <c r="B97" s="42" t="s">
        <v>6</v>
      </c>
      <c r="C97" s="43" t="s">
        <v>4</v>
      </c>
      <c r="D97" s="15">
        <v>4391.3999999999996</v>
      </c>
      <c r="E97" s="9">
        <v>102.6</v>
      </c>
      <c r="F97" s="15">
        <v>4545.1000000000004</v>
      </c>
      <c r="G97" s="37">
        <f t="shared" si="6"/>
        <v>103.50002277178123</v>
      </c>
      <c r="H97" s="15">
        <v>4740.5</v>
      </c>
      <c r="I97" s="37">
        <f t="shared" si="7"/>
        <v>104.29913533255592</v>
      </c>
      <c r="J97" s="15">
        <v>4982.3</v>
      </c>
      <c r="K97" s="37">
        <f t="shared" si="8"/>
        <v>105.10072777133215</v>
      </c>
    </row>
    <row r="98" spans="1:12" ht="30.75" customHeight="1" x14ac:dyDescent="0.25">
      <c r="A98" s="25" t="s">
        <v>172</v>
      </c>
      <c r="B98" s="42" t="s">
        <v>7</v>
      </c>
      <c r="C98" s="43" t="s">
        <v>4</v>
      </c>
      <c r="D98" s="9">
        <f>+D114*0.27</f>
        <v>114.64200000000001</v>
      </c>
      <c r="E98" s="9">
        <f>D98/99.1*100</f>
        <v>115.68314833501516</v>
      </c>
      <c r="F98" s="9">
        <f>+F114*27.9/100</f>
        <v>119.97</v>
      </c>
      <c r="G98" s="37">
        <f t="shared" si="6"/>
        <v>104.64751138326267</v>
      </c>
      <c r="H98" s="9">
        <f>+H114*28.6/100</f>
        <v>123.55200000000001</v>
      </c>
      <c r="I98" s="37">
        <f t="shared" si="7"/>
        <v>102.98574643660916</v>
      </c>
      <c r="J98" s="9">
        <f>+J114*31.8/100</f>
        <v>138.64800000000002</v>
      </c>
      <c r="K98" s="37">
        <f t="shared" si="8"/>
        <v>112.21833721833723</v>
      </c>
    </row>
    <row r="99" spans="1:12" ht="33" customHeight="1" x14ac:dyDescent="0.25">
      <c r="A99" s="25" t="s">
        <v>173</v>
      </c>
      <c r="B99" s="42" t="s">
        <v>88</v>
      </c>
      <c r="C99" s="43" t="s">
        <v>4</v>
      </c>
      <c r="D99" s="9">
        <v>27.1</v>
      </c>
      <c r="E99" s="9">
        <v>126.1</v>
      </c>
      <c r="F99" s="9">
        <v>34.5</v>
      </c>
      <c r="G99" s="37">
        <f t="shared" si="6"/>
        <v>127.30627306273061</v>
      </c>
      <c r="H99" s="9">
        <v>44.5</v>
      </c>
      <c r="I99" s="37">
        <f t="shared" si="7"/>
        <v>128.98550724637681</v>
      </c>
      <c r="J99" s="9">
        <v>57.5</v>
      </c>
      <c r="K99" s="37">
        <f t="shared" si="8"/>
        <v>129.21348314606743</v>
      </c>
    </row>
    <row r="100" spans="1:12" ht="33" customHeight="1" x14ac:dyDescent="0.25">
      <c r="A100" s="25" t="s">
        <v>174</v>
      </c>
      <c r="B100" s="42" t="s">
        <v>58</v>
      </c>
      <c r="C100" s="43" t="s">
        <v>65</v>
      </c>
      <c r="D100" s="15">
        <v>11639</v>
      </c>
      <c r="E100" s="9">
        <v>155.69999999999999</v>
      </c>
      <c r="F100" s="15">
        <v>16911.5</v>
      </c>
      <c r="G100" s="37">
        <f t="shared" si="6"/>
        <v>145.30028352951285</v>
      </c>
      <c r="H100" s="15">
        <v>23710</v>
      </c>
      <c r="I100" s="37">
        <f t="shared" si="7"/>
        <v>140.20045531147446</v>
      </c>
      <c r="J100" s="15">
        <v>32743.5</v>
      </c>
      <c r="K100" s="37">
        <f t="shared" si="8"/>
        <v>138.09995782370308</v>
      </c>
    </row>
    <row r="101" spans="1:12" ht="33.75" customHeight="1" x14ac:dyDescent="0.25">
      <c r="A101" s="25" t="s">
        <v>175</v>
      </c>
      <c r="B101" s="42" t="s">
        <v>103</v>
      </c>
      <c r="C101" s="43" t="s">
        <v>65</v>
      </c>
      <c r="D101" s="9">
        <v>6419.6</v>
      </c>
      <c r="E101" s="9">
        <v>141.6</v>
      </c>
      <c r="F101" s="9">
        <v>8717.7999999999993</v>
      </c>
      <c r="G101" s="37">
        <f t="shared" si="6"/>
        <v>135.79973830145178</v>
      </c>
      <c r="H101" s="9">
        <v>11411.6</v>
      </c>
      <c r="I101" s="37">
        <f t="shared" si="7"/>
        <v>130.89999770584325</v>
      </c>
      <c r="J101" s="9">
        <v>14344.4</v>
      </c>
      <c r="K101" s="37">
        <f t="shared" si="8"/>
        <v>125.70016474464578</v>
      </c>
    </row>
    <row r="102" spans="1:12" ht="35.25" customHeight="1" x14ac:dyDescent="0.25">
      <c r="A102" s="25" t="s">
        <v>176</v>
      </c>
      <c r="B102" s="42" t="s">
        <v>104</v>
      </c>
      <c r="C102" s="43" t="s">
        <v>105</v>
      </c>
      <c r="D102" s="9">
        <v>1561.7</v>
      </c>
      <c r="E102" s="9">
        <v>128.19999999999999</v>
      </c>
      <c r="F102" s="9">
        <v>2019.3</v>
      </c>
      <c r="G102" s="37">
        <f t="shared" si="6"/>
        <v>129.3014023179868</v>
      </c>
      <c r="H102" s="9">
        <v>2633.2</v>
      </c>
      <c r="I102" s="37">
        <f t="shared" si="7"/>
        <v>130.40162432526122</v>
      </c>
      <c r="J102" s="9">
        <v>3470.5</v>
      </c>
      <c r="K102" s="37">
        <f t="shared" si="8"/>
        <v>131.79781254747076</v>
      </c>
    </row>
    <row r="103" spans="1:12" ht="49.5" customHeight="1" x14ac:dyDescent="0.25">
      <c r="A103" s="25" t="s">
        <v>177</v>
      </c>
      <c r="B103" s="42" t="s">
        <v>8</v>
      </c>
      <c r="C103" s="51" t="s">
        <v>102</v>
      </c>
      <c r="D103" s="9">
        <v>74.2</v>
      </c>
      <c r="E103" s="9">
        <v>112.1</v>
      </c>
      <c r="F103" s="9">
        <v>85.1</v>
      </c>
      <c r="G103" s="37">
        <f t="shared" si="6"/>
        <v>114.6900269541779</v>
      </c>
      <c r="H103" s="9">
        <v>98.5</v>
      </c>
      <c r="I103" s="37">
        <f t="shared" si="7"/>
        <v>115.74618096357227</v>
      </c>
      <c r="J103" s="15">
        <v>114.7</v>
      </c>
      <c r="K103" s="37">
        <f t="shared" si="8"/>
        <v>116.44670050761421</v>
      </c>
    </row>
    <row r="104" spans="1:12" ht="33" customHeight="1" x14ac:dyDescent="0.25">
      <c r="A104" s="25" t="s">
        <v>178</v>
      </c>
      <c r="B104" s="42" t="s">
        <v>59</v>
      </c>
      <c r="C104" s="43" t="s">
        <v>4</v>
      </c>
      <c r="D104" s="9">
        <v>24.7</v>
      </c>
      <c r="E104" s="9">
        <v>105.1</v>
      </c>
      <c r="F104" s="9">
        <v>26.2</v>
      </c>
      <c r="G104" s="37">
        <f t="shared" si="6"/>
        <v>106.07287449392713</v>
      </c>
      <c r="H104" s="9">
        <v>28.1</v>
      </c>
      <c r="I104" s="37">
        <f t="shared" si="7"/>
        <v>107.25190839694659</v>
      </c>
      <c r="J104" s="15">
        <v>30.5</v>
      </c>
      <c r="K104" s="37">
        <f t="shared" si="8"/>
        <v>108.54092526690391</v>
      </c>
    </row>
    <row r="105" spans="1:12" ht="33.75" customHeight="1" x14ac:dyDescent="0.25">
      <c r="A105" s="25" t="s">
        <v>179</v>
      </c>
      <c r="B105" s="42" t="s">
        <v>46</v>
      </c>
      <c r="C105" s="43" t="s">
        <v>4</v>
      </c>
      <c r="D105" s="9">
        <v>40.9</v>
      </c>
      <c r="E105" s="9">
        <v>126.2</v>
      </c>
      <c r="F105" s="9">
        <v>52.1</v>
      </c>
      <c r="G105" s="37">
        <f t="shared" si="6"/>
        <v>127.38386308068461</v>
      </c>
      <c r="H105" s="9">
        <v>66.8</v>
      </c>
      <c r="I105" s="37">
        <f t="shared" si="7"/>
        <v>128.21497120921305</v>
      </c>
      <c r="J105" s="9">
        <v>86.7</v>
      </c>
      <c r="K105" s="37">
        <f t="shared" si="8"/>
        <v>129.79041916167665</v>
      </c>
    </row>
    <row r="106" spans="1:12" ht="33.75" customHeight="1" x14ac:dyDescent="0.25">
      <c r="A106" s="25" t="s">
        <v>180</v>
      </c>
      <c r="B106" s="42" t="s">
        <v>60</v>
      </c>
      <c r="C106" s="43" t="s">
        <v>4</v>
      </c>
      <c r="D106" s="9">
        <v>11.9</v>
      </c>
      <c r="E106" s="9">
        <v>125.3</v>
      </c>
      <c r="F106" s="9">
        <v>15.5</v>
      </c>
      <c r="G106" s="37">
        <f t="shared" si="6"/>
        <v>130.25210084033614</v>
      </c>
      <c r="H106" s="9">
        <v>21.1</v>
      </c>
      <c r="I106" s="37">
        <f t="shared" si="7"/>
        <v>136.12903225806451</v>
      </c>
      <c r="J106" s="9">
        <v>29.6</v>
      </c>
      <c r="K106" s="37">
        <f t="shared" si="8"/>
        <v>140.28436018957348</v>
      </c>
      <c r="L106" s="47"/>
    </row>
    <row r="107" spans="1:12" ht="32.25" customHeight="1" x14ac:dyDescent="0.25">
      <c r="A107" s="25" t="s">
        <v>181</v>
      </c>
      <c r="B107" s="33" t="s">
        <v>61</v>
      </c>
      <c r="C107" s="43" t="s">
        <v>4</v>
      </c>
      <c r="D107" s="15">
        <v>56.6</v>
      </c>
      <c r="E107" s="9">
        <v>101.8</v>
      </c>
      <c r="F107" s="15">
        <v>64.599999999999994</v>
      </c>
      <c r="G107" s="37">
        <f t="shared" si="6"/>
        <v>114.13427561837455</v>
      </c>
      <c r="H107" s="15">
        <v>70.599999999999994</v>
      </c>
      <c r="I107" s="37">
        <f t="shared" si="7"/>
        <v>109.28792569659443</v>
      </c>
      <c r="J107" s="15">
        <v>78.2</v>
      </c>
      <c r="K107" s="37">
        <f t="shared" si="8"/>
        <v>110.76487252124647</v>
      </c>
    </row>
    <row r="108" spans="1:12" ht="33.75" customHeight="1" x14ac:dyDescent="0.25">
      <c r="A108" s="25" t="s">
        <v>182</v>
      </c>
      <c r="B108" s="42" t="s">
        <v>62</v>
      </c>
      <c r="C108" s="43" t="s">
        <v>4</v>
      </c>
      <c r="D108" s="15">
        <v>18.3</v>
      </c>
      <c r="E108" s="9">
        <v>111.7</v>
      </c>
      <c r="F108" s="15">
        <v>20.6</v>
      </c>
      <c r="G108" s="37">
        <f t="shared" si="6"/>
        <v>112.56830601092898</v>
      </c>
      <c r="H108" s="15">
        <v>23.4</v>
      </c>
      <c r="I108" s="37">
        <f t="shared" si="7"/>
        <v>113.59223300970874</v>
      </c>
      <c r="J108" s="9">
        <v>26.9</v>
      </c>
      <c r="K108" s="37">
        <f t="shared" si="8"/>
        <v>114.95726495726495</v>
      </c>
    </row>
    <row r="109" spans="1:12" ht="35.25" customHeight="1" x14ac:dyDescent="0.25">
      <c r="A109" s="25" t="s">
        <v>183</v>
      </c>
      <c r="B109" s="42" t="s">
        <v>63</v>
      </c>
      <c r="C109" s="59" t="s">
        <v>66</v>
      </c>
      <c r="D109" s="9">
        <v>3441.8</v>
      </c>
      <c r="E109" s="9">
        <v>128.9</v>
      </c>
      <c r="F109" s="9">
        <v>4570.7</v>
      </c>
      <c r="G109" s="37">
        <f t="shared" si="6"/>
        <v>132.79969783252946</v>
      </c>
      <c r="H109" s="9">
        <v>6175</v>
      </c>
      <c r="I109" s="37">
        <f t="shared" si="7"/>
        <v>135.09965650775592</v>
      </c>
      <c r="J109" s="9">
        <v>8533.7999999999993</v>
      </c>
      <c r="K109" s="37">
        <f t="shared" si="8"/>
        <v>138.19919028340081</v>
      </c>
    </row>
    <row r="110" spans="1:12" ht="27.75" customHeight="1" x14ac:dyDescent="0.25">
      <c r="A110" s="25" t="s">
        <v>184</v>
      </c>
      <c r="B110" s="42" t="s">
        <v>19</v>
      </c>
      <c r="C110" s="43" t="s">
        <v>4</v>
      </c>
      <c r="D110" s="9">
        <v>845.4</v>
      </c>
      <c r="E110" s="9">
        <v>102.1</v>
      </c>
      <c r="F110" s="15">
        <v>875</v>
      </c>
      <c r="G110" s="37">
        <f t="shared" si="6"/>
        <v>103.50130115921456</v>
      </c>
      <c r="H110" s="9">
        <v>916.1</v>
      </c>
      <c r="I110" s="37">
        <f t="shared" si="7"/>
        <v>104.69714285714286</v>
      </c>
      <c r="J110" s="9">
        <v>963.7</v>
      </c>
      <c r="K110" s="37">
        <f t="shared" si="8"/>
        <v>105.19593930793583</v>
      </c>
    </row>
    <row r="111" spans="1:12" ht="27.75" customHeight="1" x14ac:dyDescent="0.25">
      <c r="A111" s="95" t="s">
        <v>9</v>
      </c>
      <c r="B111" s="96"/>
      <c r="C111" s="96"/>
      <c r="D111" s="96"/>
      <c r="E111" s="96"/>
      <c r="F111" s="96"/>
      <c r="G111" s="96"/>
      <c r="H111" s="96"/>
      <c r="I111" s="96"/>
      <c r="J111" s="96"/>
      <c r="K111" s="97"/>
    </row>
    <row r="112" spans="1:12" ht="32.25" customHeight="1" x14ac:dyDescent="0.25">
      <c r="A112" s="25" t="s">
        <v>185</v>
      </c>
      <c r="B112" s="33" t="s">
        <v>115</v>
      </c>
      <c r="C112" s="51" t="s">
        <v>4</v>
      </c>
      <c r="D112" s="15">
        <v>1628.1</v>
      </c>
      <c r="E112" s="9">
        <v>102.63945730042137</v>
      </c>
      <c r="F112" s="15">
        <v>1671.1</v>
      </c>
      <c r="G112" s="9">
        <f>+F112/D112*100</f>
        <v>102.64111541060133</v>
      </c>
      <c r="H112" s="15">
        <v>1715.3</v>
      </c>
      <c r="I112" s="9">
        <f>+H112/F112*100</f>
        <v>102.64496439471007</v>
      </c>
      <c r="J112" s="15">
        <v>1760.2</v>
      </c>
      <c r="K112" s="9">
        <f>+J112/H112*100</f>
        <v>102.61761790940361</v>
      </c>
    </row>
    <row r="113" spans="1:11" ht="33.75" customHeight="1" x14ac:dyDescent="0.25">
      <c r="A113" s="25" t="s">
        <v>186</v>
      </c>
      <c r="B113" s="60" t="s">
        <v>109</v>
      </c>
      <c r="C113" s="51" t="s">
        <v>4</v>
      </c>
      <c r="D113" s="15">
        <v>899.5</v>
      </c>
      <c r="E113" s="9">
        <v>102.70655890758682</v>
      </c>
      <c r="F113" s="15">
        <v>975</v>
      </c>
      <c r="G113" s="9">
        <f t="shared" ref="G113:G127" si="9">+F113/D113*100</f>
        <v>108.39355197331851</v>
      </c>
      <c r="H113" s="15">
        <v>998.1</v>
      </c>
      <c r="I113" s="9">
        <f t="shared" ref="I113:I127" si="10">+H113/F113*100</f>
        <v>102.36923076923077</v>
      </c>
      <c r="J113" s="15">
        <v>1013.5</v>
      </c>
      <c r="K113" s="9">
        <f t="shared" ref="K113:K127" si="11">+J113/H113*100</f>
        <v>101.54293156998297</v>
      </c>
    </row>
    <row r="114" spans="1:11" ht="33.75" customHeight="1" x14ac:dyDescent="0.25">
      <c r="A114" s="25" t="s">
        <v>187</v>
      </c>
      <c r="B114" s="42" t="s">
        <v>10</v>
      </c>
      <c r="C114" s="51" t="s">
        <v>4</v>
      </c>
      <c r="D114" s="15">
        <v>424.6</v>
      </c>
      <c r="E114" s="9">
        <f>424.6/388.8*100</f>
        <v>109.20781893004114</v>
      </c>
      <c r="F114" s="15">
        <v>430</v>
      </c>
      <c r="G114" s="9">
        <f t="shared" si="9"/>
        <v>101.27178520960905</v>
      </c>
      <c r="H114" s="15">
        <v>432</v>
      </c>
      <c r="I114" s="9">
        <f t="shared" si="10"/>
        <v>100.46511627906978</v>
      </c>
      <c r="J114" s="15">
        <v>436</v>
      </c>
      <c r="K114" s="9">
        <f t="shared" si="11"/>
        <v>100.92592592592592</v>
      </c>
    </row>
    <row r="115" spans="1:11" ht="34.5" customHeight="1" x14ac:dyDescent="0.25">
      <c r="A115" s="25" t="s">
        <v>188</v>
      </c>
      <c r="B115" s="42" t="s">
        <v>11</v>
      </c>
      <c r="C115" s="51" t="s">
        <v>4</v>
      </c>
      <c r="D115" s="15">
        <v>1106.4000000000001</v>
      </c>
      <c r="E115" s="37">
        <v>106.25053297942219</v>
      </c>
      <c r="F115" s="15">
        <v>1112.0999999999999</v>
      </c>
      <c r="G115" s="9">
        <f t="shared" si="9"/>
        <v>100.51518438177874</v>
      </c>
      <c r="H115" s="15">
        <v>1122</v>
      </c>
      <c r="I115" s="9">
        <f t="shared" si="10"/>
        <v>100.89020771513353</v>
      </c>
      <c r="J115" s="15">
        <v>1125</v>
      </c>
      <c r="K115" s="9">
        <f t="shared" si="11"/>
        <v>100.26737967914438</v>
      </c>
    </row>
    <row r="116" spans="1:11" ht="31.5" customHeight="1" x14ac:dyDescent="0.25">
      <c r="A116" s="25" t="s">
        <v>189</v>
      </c>
      <c r="B116" s="42" t="s">
        <v>89</v>
      </c>
      <c r="C116" s="51" t="s">
        <v>4</v>
      </c>
      <c r="D116" s="15">
        <v>2626.2</v>
      </c>
      <c r="E116" s="9">
        <v>101.10422755676834</v>
      </c>
      <c r="F116" s="15">
        <v>2665.2</v>
      </c>
      <c r="G116" s="9">
        <f t="shared" si="9"/>
        <v>101.48503541238291</v>
      </c>
      <c r="H116" s="15">
        <v>2711.5</v>
      </c>
      <c r="I116" s="9">
        <f t="shared" si="10"/>
        <v>101.73720546300467</v>
      </c>
      <c r="J116" s="15">
        <v>2760</v>
      </c>
      <c r="K116" s="9">
        <f t="shared" si="11"/>
        <v>101.78867785358659</v>
      </c>
    </row>
    <row r="117" spans="1:11" ht="34.5" customHeight="1" x14ac:dyDescent="0.25">
      <c r="A117" s="25" t="s">
        <v>190</v>
      </c>
      <c r="B117" s="33" t="s">
        <v>90</v>
      </c>
      <c r="C117" s="51" t="s">
        <v>4</v>
      </c>
      <c r="D117" s="15">
        <v>742.9</v>
      </c>
      <c r="E117" s="9">
        <v>102.16705467716518</v>
      </c>
      <c r="F117" s="15">
        <v>746.7</v>
      </c>
      <c r="G117" s="9">
        <f t="shared" si="9"/>
        <v>100.51150895140665</v>
      </c>
      <c r="H117" s="15">
        <v>751.6</v>
      </c>
      <c r="I117" s="9">
        <f t="shared" si="10"/>
        <v>100.65622070443283</v>
      </c>
      <c r="J117" s="15">
        <v>755.7</v>
      </c>
      <c r="K117" s="9">
        <f t="shared" si="11"/>
        <v>100.54550292708888</v>
      </c>
    </row>
    <row r="118" spans="1:11" ht="32.25" customHeight="1" x14ac:dyDescent="0.25">
      <c r="A118" s="25" t="s">
        <v>191</v>
      </c>
      <c r="B118" s="33" t="s">
        <v>91</v>
      </c>
      <c r="C118" s="51" t="s">
        <v>4</v>
      </c>
      <c r="D118" s="15">
        <v>476.4</v>
      </c>
      <c r="E118" s="9">
        <v>107.18716842233151</v>
      </c>
      <c r="F118" s="15">
        <v>500.2</v>
      </c>
      <c r="G118" s="9">
        <f t="shared" si="9"/>
        <v>104.99580184718724</v>
      </c>
      <c r="H118" s="15">
        <v>507.5</v>
      </c>
      <c r="I118" s="9">
        <f t="shared" si="10"/>
        <v>101.4594162335066</v>
      </c>
      <c r="J118" s="15">
        <v>516</v>
      </c>
      <c r="K118" s="9">
        <f t="shared" si="11"/>
        <v>101.67487684729065</v>
      </c>
    </row>
    <row r="119" spans="1:11" ht="32.25" customHeight="1" x14ac:dyDescent="0.25">
      <c r="A119" s="25" t="s">
        <v>192</v>
      </c>
      <c r="B119" s="33" t="s">
        <v>221</v>
      </c>
      <c r="C119" s="51" t="s">
        <v>4</v>
      </c>
      <c r="D119" s="15">
        <v>279.2</v>
      </c>
      <c r="E119" s="9">
        <v>104.38230018130503</v>
      </c>
      <c r="F119" s="15">
        <v>281</v>
      </c>
      <c r="G119" s="9">
        <f t="shared" si="9"/>
        <v>100.64469914040114</v>
      </c>
      <c r="H119" s="15">
        <v>285.89999999999998</v>
      </c>
      <c r="I119" s="9">
        <f t="shared" si="10"/>
        <v>101.74377224199287</v>
      </c>
      <c r="J119" s="15">
        <v>288.89999999999998</v>
      </c>
      <c r="K119" s="9">
        <f t="shared" si="11"/>
        <v>101.04931794333683</v>
      </c>
    </row>
    <row r="120" spans="1:11" ht="31.5" customHeight="1" x14ac:dyDescent="0.25">
      <c r="A120" s="25" t="s">
        <v>193</v>
      </c>
      <c r="B120" s="42" t="s">
        <v>67</v>
      </c>
      <c r="C120" s="51" t="s">
        <v>4</v>
      </c>
      <c r="D120" s="15">
        <v>836.4</v>
      </c>
      <c r="E120" s="9">
        <v>102.14221772799937</v>
      </c>
      <c r="F120" s="15">
        <v>854.7</v>
      </c>
      <c r="G120" s="9">
        <f t="shared" si="9"/>
        <v>102.18794835007175</v>
      </c>
      <c r="H120" s="15">
        <v>873.5</v>
      </c>
      <c r="I120" s="9">
        <f t="shared" si="10"/>
        <v>102.1996021996022</v>
      </c>
      <c r="J120" s="15">
        <v>892.7</v>
      </c>
      <c r="K120" s="9">
        <f t="shared" si="11"/>
        <v>102.19805380652546</v>
      </c>
    </row>
    <row r="121" spans="1:11" ht="33" customHeight="1" x14ac:dyDescent="0.25">
      <c r="A121" s="61" t="s">
        <v>194</v>
      </c>
      <c r="B121" s="33" t="s">
        <v>68</v>
      </c>
      <c r="C121" s="51" t="s">
        <v>4</v>
      </c>
      <c r="D121" s="15">
        <v>341.1</v>
      </c>
      <c r="E121" s="9">
        <v>104.08841047120265</v>
      </c>
      <c r="F121" s="15">
        <v>355.1</v>
      </c>
      <c r="G121" s="9">
        <f t="shared" si="9"/>
        <v>104.1043682204632</v>
      </c>
      <c r="H121" s="15">
        <v>369.5</v>
      </c>
      <c r="I121" s="9">
        <f t="shared" si="10"/>
        <v>104.05519571951562</v>
      </c>
      <c r="J121" s="15">
        <v>384.7</v>
      </c>
      <c r="K121" s="9">
        <f t="shared" si="11"/>
        <v>104.11366711772665</v>
      </c>
    </row>
    <row r="122" spans="1:11" ht="29.25" customHeight="1" x14ac:dyDescent="0.25">
      <c r="A122" s="25" t="s">
        <v>195</v>
      </c>
      <c r="B122" s="33" t="s">
        <v>220</v>
      </c>
      <c r="C122" s="51" t="s">
        <v>4</v>
      </c>
      <c r="D122" s="15">
        <v>51.6</v>
      </c>
      <c r="E122" s="9">
        <v>117.21557412711239</v>
      </c>
      <c r="F122" s="15">
        <v>60.7</v>
      </c>
      <c r="G122" s="9">
        <f t="shared" si="9"/>
        <v>117.63565891472869</v>
      </c>
      <c r="H122" s="15">
        <v>71.599999999999994</v>
      </c>
      <c r="I122" s="9">
        <f t="shared" si="10"/>
        <v>117.95716639209223</v>
      </c>
      <c r="J122" s="15">
        <v>84.6</v>
      </c>
      <c r="K122" s="9">
        <f t="shared" si="11"/>
        <v>118.1564245810056</v>
      </c>
    </row>
    <row r="123" spans="1:11" ht="21.75" customHeight="1" x14ac:dyDescent="0.25">
      <c r="A123" s="25" t="s">
        <v>196</v>
      </c>
      <c r="B123" s="42" t="s">
        <v>69</v>
      </c>
      <c r="C123" s="43" t="s">
        <v>72</v>
      </c>
      <c r="D123" s="15">
        <v>5044</v>
      </c>
      <c r="E123" s="9">
        <v>114.9</v>
      </c>
      <c r="F123" s="15">
        <v>5805.7</v>
      </c>
      <c r="G123" s="9">
        <f t="shared" si="9"/>
        <v>115.1011102299762</v>
      </c>
      <c r="H123" s="15">
        <v>6692</v>
      </c>
      <c r="I123" s="9">
        <f t="shared" si="10"/>
        <v>115.26603165854247</v>
      </c>
      <c r="J123" s="15">
        <v>7725.6</v>
      </c>
      <c r="K123" s="9">
        <f t="shared" si="11"/>
        <v>115.44530783024507</v>
      </c>
    </row>
    <row r="124" spans="1:11" ht="32.25" customHeight="1" x14ac:dyDescent="0.25">
      <c r="A124" s="25" t="s">
        <v>197</v>
      </c>
      <c r="B124" s="42" t="s">
        <v>12</v>
      </c>
      <c r="C124" s="51" t="s">
        <v>4</v>
      </c>
      <c r="D124" s="15">
        <v>1067.0999999999999</v>
      </c>
      <c r="E124" s="9">
        <v>102.3522368418502</v>
      </c>
      <c r="F124" s="15">
        <v>1092.3</v>
      </c>
      <c r="G124" s="9">
        <f t="shared" si="9"/>
        <v>102.36154062412146</v>
      </c>
      <c r="H124" s="15">
        <v>1118.0999999999999</v>
      </c>
      <c r="I124" s="9">
        <f t="shared" si="10"/>
        <v>102.36198846470749</v>
      </c>
      <c r="J124" s="15">
        <v>1144.5999999999999</v>
      </c>
      <c r="K124" s="9">
        <f t="shared" si="11"/>
        <v>102.37009212056168</v>
      </c>
    </row>
    <row r="125" spans="1:11" ht="22.5" customHeight="1" x14ac:dyDescent="0.25">
      <c r="A125" s="25" t="s">
        <v>198</v>
      </c>
      <c r="B125" s="42" t="s">
        <v>70</v>
      </c>
      <c r="C125" s="43" t="s">
        <v>72</v>
      </c>
      <c r="D125" s="15">
        <v>4577.8289500000001</v>
      </c>
      <c r="E125" s="9">
        <v>104.27476333436596</v>
      </c>
      <c r="F125" s="15">
        <v>4774.0816218500004</v>
      </c>
      <c r="G125" s="9">
        <f t="shared" si="9"/>
        <v>104.28702500669014</v>
      </c>
      <c r="H125" s="15">
        <v>4979.3478825395496</v>
      </c>
      <c r="I125" s="9">
        <f t="shared" si="10"/>
        <v>104.29959680098655</v>
      </c>
      <c r="J125" s="15">
        <v>5194.0823006025003</v>
      </c>
      <c r="K125" s="9">
        <f t="shared" si="11"/>
        <v>104.31250081593883</v>
      </c>
    </row>
    <row r="126" spans="1:11" ht="23.25" customHeight="1" x14ac:dyDescent="0.25">
      <c r="A126" s="25" t="s">
        <v>199</v>
      </c>
      <c r="B126" s="42" t="s">
        <v>71</v>
      </c>
      <c r="C126" s="43" t="s">
        <v>72</v>
      </c>
      <c r="D126" s="15">
        <v>780</v>
      </c>
      <c r="E126" s="9">
        <v>172.89916432070578</v>
      </c>
      <c r="F126" s="15">
        <v>900</v>
      </c>
      <c r="G126" s="9">
        <f t="shared" si="9"/>
        <v>115.38461538461537</v>
      </c>
      <c r="H126" s="15">
        <v>1200</v>
      </c>
      <c r="I126" s="9">
        <f t="shared" si="10"/>
        <v>133.33333333333331</v>
      </c>
      <c r="J126" s="15">
        <v>1300</v>
      </c>
      <c r="K126" s="9">
        <f t="shared" si="11"/>
        <v>108.33333333333333</v>
      </c>
    </row>
    <row r="127" spans="1:11" ht="29.25" customHeight="1" x14ac:dyDescent="0.25">
      <c r="A127" s="25" t="s">
        <v>200</v>
      </c>
      <c r="B127" s="42" t="s">
        <v>22</v>
      </c>
      <c r="C127" s="43" t="s">
        <v>73</v>
      </c>
      <c r="D127" s="15">
        <v>1128.4000000000001</v>
      </c>
      <c r="E127" s="9">
        <v>107.11936049012164</v>
      </c>
      <c r="F127" s="15">
        <v>1209.2</v>
      </c>
      <c r="G127" s="9">
        <f t="shared" si="9"/>
        <v>107.16058135412973</v>
      </c>
      <c r="H127" s="15">
        <v>1296</v>
      </c>
      <c r="I127" s="9">
        <f t="shared" si="10"/>
        <v>107.1782997022825</v>
      </c>
      <c r="J127" s="15">
        <v>1389.5</v>
      </c>
      <c r="K127" s="9">
        <f t="shared" si="11"/>
        <v>107.21450617283949</v>
      </c>
    </row>
    <row r="128" spans="1:11" ht="23.25" customHeight="1" x14ac:dyDescent="0.25">
      <c r="A128" s="95" t="s">
        <v>218</v>
      </c>
      <c r="B128" s="96"/>
      <c r="C128" s="96"/>
      <c r="D128" s="96"/>
      <c r="E128" s="96"/>
      <c r="F128" s="96"/>
      <c r="G128" s="96"/>
      <c r="H128" s="96"/>
      <c r="I128" s="96"/>
      <c r="J128" s="96"/>
      <c r="K128" s="97"/>
    </row>
    <row r="129" spans="1:13" ht="60.75" customHeight="1" x14ac:dyDescent="0.25">
      <c r="A129" s="25" t="s">
        <v>201</v>
      </c>
      <c r="B129" s="33" t="s">
        <v>240</v>
      </c>
      <c r="C129" s="43" t="s">
        <v>92</v>
      </c>
      <c r="D129" s="45">
        <v>66668</v>
      </c>
      <c r="E129" s="9">
        <v>104.21760200093794</v>
      </c>
      <c r="F129" s="45">
        <v>69748</v>
      </c>
      <c r="G129" s="9">
        <v>104.61990760184796</v>
      </c>
      <c r="H129" s="45">
        <v>71013</v>
      </c>
      <c r="I129" s="9">
        <v>101.81367207661869</v>
      </c>
      <c r="J129" s="45">
        <v>71723</v>
      </c>
      <c r="K129" s="13">
        <v>100.99981693492741</v>
      </c>
      <c r="M129" s="47"/>
    </row>
    <row r="130" spans="1:13" ht="30.75" customHeight="1" x14ac:dyDescent="0.25">
      <c r="A130" s="25" t="s">
        <v>202</v>
      </c>
      <c r="B130" s="33" t="s">
        <v>238</v>
      </c>
      <c r="C130" s="43" t="s">
        <v>92</v>
      </c>
      <c r="D130" s="45">
        <v>12650</v>
      </c>
      <c r="E130" s="9">
        <v>90.713517389745419</v>
      </c>
      <c r="F130" s="45">
        <v>13030</v>
      </c>
      <c r="G130" s="9">
        <v>103.00395256916997</v>
      </c>
      <c r="H130" s="45">
        <v>13160</v>
      </c>
      <c r="I130" s="9">
        <v>100.99769762087489</v>
      </c>
      <c r="J130" s="45">
        <v>13291</v>
      </c>
      <c r="K130" s="13">
        <v>100.99544072948328</v>
      </c>
      <c r="M130" s="47"/>
    </row>
    <row r="131" spans="1:13" ht="53.25" customHeight="1" x14ac:dyDescent="0.25">
      <c r="A131" s="25" t="s">
        <v>203</v>
      </c>
      <c r="B131" s="33" t="s">
        <v>74</v>
      </c>
      <c r="C131" s="43" t="s">
        <v>92</v>
      </c>
      <c r="D131" s="45">
        <v>6013</v>
      </c>
      <c r="E131" s="9">
        <v>105.23276163808191</v>
      </c>
      <c r="F131" s="45">
        <v>6254</v>
      </c>
      <c r="G131" s="9">
        <v>104.00798270414103</v>
      </c>
      <c r="H131" s="45">
        <v>6320</v>
      </c>
      <c r="I131" s="9">
        <v>101.05532459226094</v>
      </c>
      <c r="J131" s="45">
        <v>6394</v>
      </c>
      <c r="K131" s="13">
        <v>101.17088607594937</v>
      </c>
      <c r="M131" s="47"/>
    </row>
    <row r="132" spans="1:13" ht="43.5" customHeight="1" x14ac:dyDescent="0.25">
      <c r="A132" s="25" t="s">
        <v>204</v>
      </c>
      <c r="B132" s="33" t="s">
        <v>239</v>
      </c>
      <c r="C132" s="43" t="s">
        <v>92</v>
      </c>
      <c r="D132" s="45">
        <v>75</v>
      </c>
      <c r="E132" s="9"/>
      <c r="F132" s="45">
        <v>80</v>
      </c>
      <c r="G132" s="9">
        <v>106.66666666666667</v>
      </c>
      <c r="H132" s="45">
        <v>85</v>
      </c>
      <c r="I132" s="9">
        <v>106.25</v>
      </c>
      <c r="J132" s="45">
        <v>90</v>
      </c>
      <c r="K132" s="13">
        <v>105.88235294117648</v>
      </c>
      <c r="M132" s="47"/>
    </row>
    <row r="133" spans="1:13" ht="51.75" customHeight="1" x14ac:dyDescent="0.25">
      <c r="A133" s="25" t="s">
        <v>205</v>
      </c>
      <c r="B133" s="33" t="s">
        <v>75</v>
      </c>
      <c r="C133" s="43" t="s">
        <v>92</v>
      </c>
      <c r="D133" s="45">
        <v>45438</v>
      </c>
      <c r="E133" s="9">
        <v>158.23785477973183</v>
      </c>
      <c r="F133" s="45">
        <v>47042</v>
      </c>
      <c r="G133" s="9">
        <v>103.53008495092213</v>
      </c>
      <c r="H133" s="45">
        <v>48673</v>
      </c>
      <c r="I133" s="9">
        <v>103.4671144934314</v>
      </c>
      <c r="J133" s="45">
        <v>50133</v>
      </c>
      <c r="K133" s="13">
        <v>102.99960963984138</v>
      </c>
      <c r="M133" s="47"/>
    </row>
    <row r="134" spans="1:13" ht="32.25" customHeight="1" x14ac:dyDescent="0.25">
      <c r="A134" s="25" t="s">
        <v>206</v>
      </c>
      <c r="B134" s="33" t="s">
        <v>236</v>
      </c>
      <c r="C134" s="43" t="s">
        <v>92</v>
      </c>
      <c r="D134" s="45">
        <v>9800</v>
      </c>
      <c r="E134" s="9">
        <v>133.97129186602871</v>
      </c>
      <c r="F134" s="45">
        <v>10092</v>
      </c>
      <c r="G134" s="9">
        <v>102.97959183673468</v>
      </c>
      <c r="H134" s="45">
        <v>10420</v>
      </c>
      <c r="I134" s="9">
        <v>103.25009908838685</v>
      </c>
      <c r="J134" s="45">
        <v>10860</v>
      </c>
      <c r="K134" s="13">
        <v>104.22264875239924</v>
      </c>
      <c r="M134" s="47"/>
    </row>
    <row r="135" spans="1:13" ht="50.25" customHeight="1" x14ac:dyDescent="0.25">
      <c r="A135" s="25" t="s">
        <v>207</v>
      </c>
      <c r="B135" s="33" t="s">
        <v>76</v>
      </c>
      <c r="C135" s="43" t="s">
        <v>92</v>
      </c>
      <c r="D135" s="15">
        <v>19493</v>
      </c>
      <c r="E135" s="9">
        <v>148.57469512195124</v>
      </c>
      <c r="F135" s="15">
        <v>20073</v>
      </c>
      <c r="G135" s="9">
        <v>102.97542707638641</v>
      </c>
      <c r="H135" s="15">
        <v>20481</v>
      </c>
      <c r="I135" s="9">
        <v>102.03258107906143</v>
      </c>
      <c r="J135" s="15">
        <v>21107</v>
      </c>
      <c r="K135" s="13">
        <v>103.05649138225672</v>
      </c>
      <c r="M135" s="47"/>
    </row>
    <row r="136" spans="1:13" ht="30" customHeight="1" x14ac:dyDescent="0.25">
      <c r="A136" s="25" t="s">
        <v>208</v>
      </c>
      <c r="B136" s="33" t="s">
        <v>236</v>
      </c>
      <c r="C136" s="43" t="s">
        <v>92</v>
      </c>
      <c r="D136" s="45">
        <v>14150</v>
      </c>
      <c r="E136" s="9">
        <v>126.27164019275388</v>
      </c>
      <c r="F136" s="45">
        <v>14416</v>
      </c>
      <c r="G136" s="9">
        <v>101.87985865724383</v>
      </c>
      <c r="H136" s="45">
        <v>14857</v>
      </c>
      <c r="I136" s="9">
        <v>103.05910099889013</v>
      </c>
      <c r="J136" s="45">
        <v>15212</v>
      </c>
      <c r="K136" s="13">
        <v>102.38944605236588</v>
      </c>
      <c r="M136" s="47"/>
    </row>
    <row r="137" spans="1:13" ht="48.75" customHeight="1" x14ac:dyDescent="0.25">
      <c r="A137" s="25" t="s">
        <v>209</v>
      </c>
      <c r="B137" s="33" t="s">
        <v>237</v>
      </c>
      <c r="C137" s="43" t="s">
        <v>92</v>
      </c>
      <c r="D137" s="45">
        <v>7605</v>
      </c>
      <c r="E137" s="9">
        <v>328.36787564766843</v>
      </c>
      <c r="F137" s="45">
        <v>7974</v>
      </c>
      <c r="G137" s="9">
        <v>104.85207100591715</v>
      </c>
      <c r="H137" s="45">
        <v>8214</v>
      </c>
      <c r="I137" s="9">
        <v>103.00978179082017</v>
      </c>
      <c r="J137" s="45">
        <v>8624</v>
      </c>
      <c r="K137" s="13">
        <v>104.99147796445094</v>
      </c>
      <c r="M137" s="47"/>
    </row>
    <row r="138" spans="1:13" ht="27.75" customHeight="1" x14ac:dyDescent="0.25">
      <c r="A138" s="25" t="s">
        <v>210</v>
      </c>
      <c r="B138" s="33" t="s">
        <v>236</v>
      </c>
      <c r="C138" s="43" t="s">
        <v>92</v>
      </c>
      <c r="D138" s="45">
        <v>2062</v>
      </c>
      <c r="E138" s="9">
        <v>169.43303204601477</v>
      </c>
      <c r="F138" s="45">
        <v>2144</v>
      </c>
      <c r="G138" s="9">
        <v>103.97672162948595</v>
      </c>
      <c r="H138" s="45">
        <v>2252</v>
      </c>
      <c r="I138" s="9">
        <v>105.03731343283582</v>
      </c>
      <c r="J138" s="45">
        <v>2344</v>
      </c>
      <c r="K138" s="13">
        <v>104.08525754884548</v>
      </c>
      <c r="M138" s="47"/>
    </row>
    <row r="139" spans="1:13" ht="69.75" customHeight="1" x14ac:dyDescent="0.25">
      <c r="A139" s="25" t="s">
        <v>211</v>
      </c>
      <c r="B139" s="33" t="s">
        <v>227</v>
      </c>
      <c r="C139" s="43" t="s">
        <v>92</v>
      </c>
      <c r="D139" s="45">
        <v>1999</v>
      </c>
      <c r="E139" s="9">
        <v>498.50374064837911</v>
      </c>
      <c r="F139" s="45">
        <v>2064</v>
      </c>
      <c r="G139" s="9">
        <v>103.25162581290645</v>
      </c>
      <c r="H139" s="45">
        <v>2143</v>
      </c>
      <c r="I139" s="9">
        <v>103.82751937984496</v>
      </c>
      <c r="J139" s="45">
        <v>2196</v>
      </c>
      <c r="K139" s="13">
        <v>102.47316845543631</v>
      </c>
      <c r="M139" s="47"/>
    </row>
    <row r="140" spans="1:13" ht="27" customHeight="1" x14ac:dyDescent="0.25">
      <c r="A140" s="25" t="s">
        <v>212</v>
      </c>
      <c r="B140" s="33" t="s">
        <v>236</v>
      </c>
      <c r="C140" s="43" t="s">
        <v>92</v>
      </c>
      <c r="D140" s="45">
        <v>977</v>
      </c>
      <c r="E140" s="9">
        <v>264.76964769647697</v>
      </c>
      <c r="F140" s="45">
        <v>1016</v>
      </c>
      <c r="G140" s="9">
        <v>103.99181166837256</v>
      </c>
      <c r="H140" s="45">
        <v>1054</v>
      </c>
      <c r="I140" s="9">
        <v>103.74015748031495</v>
      </c>
      <c r="J140" s="45">
        <v>1084</v>
      </c>
      <c r="K140" s="13">
        <v>102.84629981024669</v>
      </c>
      <c r="M140" s="47"/>
    </row>
    <row r="141" spans="1:13" ht="33.75" customHeight="1" x14ac:dyDescent="0.25">
      <c r="A141" s="25" t="s">
        <v>229</v>
      </c>
      <c r="B141" s="33" t="s">
        <v>235</v>
      </c>
      <c r="C141" s="43" t="s">
        <v>93</v>
      </c>
      <c r="D141" s="45">
        <v>4584</v>
      </c>
      <c r="E141" s="9">
        <v>100</v>
      </c>
      <c r="F141" s="45">
        <v>4615</v>
      </c>
      <c r="G141" s="9">
        <v>100.67626527050611</v>
      </c>
      <c r="H141" s="45">
        <v>4769</v>
      </c>
      <c r="I141" s="9">
        <v>103.33694474539546</v>
      </c>
      <c r="J141" s="9">
        <v>4865</v>
      </c>
      <c r="K141" s="13">
        <v>102.01300062906269</v>
      </c>
      <c r="L141" s="2"/>
      <c r="M141" s="47"/>
    </row>
    <row r="142" spans="1:13" ht="89.25" customHeight="1" x14ac:dyDescent="0.25">
      <c r="A142" s="25" t="s">
        <v>230</v>
      </c>
      <c r="B142" s="33" t="s">
        <v>77</v>
      </c>
      <c r="C142" s="43" t="s">
        <v>94</v>
      </c>
      <c r="D142" s="15">
        <v>113.4</v>
      </c>
      <c r="E142" s="9">
        <v>129.7482837528604</v>
      </c>
      <c r="F142" s="15">
        <v>121.3</v>
      </c>
      <c r="G142" s="9">
        <v>106.96649029982363</v>
      </c>
      <c r="H142" s="15">
        <v>128.19999999999999</v>
      </c>
      <c r="I142" s="9">
        <v>105.6883759274526</v>
      </c>
      <c r="J142" s="15">
        <v>136.9</v>
      </c>
      <c r="K142" s="13">
        <v>106.78627145085804</v>
      </c>
      <c r="M142" s="47"/>
    </row>
    <row r="143" spans="1:13" ht="22.5" x14ac:dyDescent="0.25">
      <c r="A143" s="87" t="s">
        <v>107</v>
      </c>
      <c r="B143" s="88"/>
      <c r="C143" s="88"/>
      <c r="D143" s="88"/>
      <c r="E143" s="88"/>
      <c r="F143" s="88"/>
      <c r="G143" s="88"/>
      <c r="H143" s="88"/>
      <c r="I143" s="88"/>
      <c r="J143" s="88"/>
      <c r="K143" s="89"/>
      <c r="M143" s="47"/>
    </row>
    <row r="144" spans="1:13" ht="36" x14ac:dyDescent="0.25">
      <c r="A144" s="25" t="s">
        <v>231</v>
      </c>
      <c r="B144" s="42" t="s">
        <v>78</v>
      </c>
      <c r="C144" s="43" t="s">
        <v>95</v>
      </c>
      <c r="D144" s="15">
        <v>5826.3</v>
      </c>
      <c r="E144" s="9">
        <v>101.7</v>
      </c>
      <c r="F144" s="15">
        <v>5934.2</v>
      </c>
      <c r="G144" s="9">
        <v>101.9</v>
      </c>
      <c r="H144" s="15">
        <v>6041</v>
      </c>
      <c r="I144" s="9">
        <v>101.8</v>
      </c>
      <c r="J144" s="15">
        <v>6149.8</v>
      </c>
      <c r="K144" s="13">
        <v>101.8</v>
      </c>
      <c r="M144" s="47"/>
    </row>
    <row r="145" spans="1:13" ht="36" x14ac:dyDescent="0.25">
      <c r="A145" s="25" t="s">
        <v>232</v>
      </c>
      <c r="B145" s="42" t="s">
        <v>79</v>
      </c>
      <c r="C145" s="43" t="s">
        <v>95</v>
      </c>
      <c r="D145" s="15">
        <v>2592</v>
      </c>
      <c r="E145" s="9">
        <v>102</v>
      </c>
      <c r="F145" s="15">
        <v>2636</v>
      </c>
      <c r="G145" s="9">
        <v>101.7</v>
      </c>
      <c r="H145" s="15">
        <v>2681</v>
      </c>
      <c r="I145" s="9">
        <v>101.7</v>
      </c>
      <c r="J145" s="15">
        <v>2729</v>
      </c>
      <c r="K145" s="13">
        <v>101.8</v>
      </c>
      <c r="M145" s="47"/>
    </row>
    <row r="146" spans="1:13" ht="36" x14ac:dyDescent="0.25">
      <c r="A146" s="25" t="s">
        <v>233</v>
      </c>
      <c r="B146" s="33" t="s">
        <v>80</v>
      </c>
      <c r="C146" s="43" t="s">
        <v>214</v>
      </c>
      <c r="D146" s="15">
        <v>205.1</v>
      </c>
      <c r="E146" s="9">
        <f>D146/189.1*100</f>
        <v>108.46113167636172</v>
      </c>
      <c r="F146" s="15">
        <v>220.9</v>
      </c>
      <c r="G146" s="9">
        <f>+F146/D146*100</f>
        <v>107.70355923939543</v>
      </c>
      <c r="H146" s="15">
        <v>235.8</v>
      </c>
      <c r="I146" s="9">
        <f>+H146/F146*100</f>
        <v>106.74513354459032</v>
      </c>
      <c r="J146" s="15">
        <v>250.9</v>
      </c>
      <c r="K146" s="9">
        <f>+J146/H146*100</f>
        <v>106.40373197625107</v>
      </c>
      <c r="M146" s="47"/>
    </row>
    <row r="147" spans="1:13" ht="25.5" customHeight="1" x14ac:dyDescent="0.25">
      <c r="A147" s="99" t="s">
        <v>223</v>
      </c>
      <c r="B147" s="99"/>
      <c r="C147" s="99"/>
      <c r="D147" s="99"/>
      <c r="E147" s="99"/>
      <c r="F147" s="99"/>
      <c r="G147" s="99"/>
      <c r="H147" s="99"/>
      <c r="I147" s="99"/>
      <c r="J147" s="99"/>
      <c r="K147" s="99"/>
    </row>
    <row r="151" spans="1:13" x14ac:dyDescent="0.25">
      <c r="B151" s="40"/>
    </row>
    <row r="161" spans="1:10" x14ac:dyDescent="0.25">
      <c r="A161" s="26"/>
      <c r="B161" s="34"/>
      <c r="C161" s="29"/>
      <c r="D161" s="29"/>
      <c r="E161" s="29"/>
      <c r="F161" s="29"/>
      <c r="G161" s="29"/>
      <c r="H161" s="29"/>
      <c r="I161" s="29"/>
      <c r="J161" s="29"/>
    </row>
    <row r="162" spans="1:10" x14ac:dyDescent="0.25">
      <c r="A162" s="26"/>
      <c r="B162" s="35"/>
      <c r="C162" s="28"/>
      <c r="D162" s="28"/>
      <c r="E162" s="28"/>
      <c r="F162" s="28"/>
      <c r="G162" s="28"/>
      <c r="H162" s="28"/>
      <c r="I162" s="28"/>
      <c r="J162" s="28"/>
    </row>
    <row r="163" spans="1:10" x14ac:dyDescent="0.25">
      <c r="A163" s="26"/>
      <c r="B163" s="30"/>
      <c r="C163" s="27"/>
      <c r="D163" s="28"/>
      <c r="E163" s="28"/>
      <c r="F163" s="28"/>
      <c r="G163" s="28"/>
      <c r="H163" s="28"/>
      <c r="I163" s="28"/>
      <c r="J163" s="28"/>
    </row>
  </sheetData>
  <mergeCells count="79">
    <mergeCell ref="B82:B83"/>
    <mergeCell ref="B47:B48"/>
    <mergeCell ref="B51:B52"/>
    <mergeCell ref="A128:K128"/>
    <mergeCell ref="A74:A75"/>
    <mergeCell ref="B74:B75"/>
    <mergeCell ref="A76:A77"/>
    <mergeCell ref="B76:B77"/>
    <mergeCell ref="A78:A79"/>
    <mergeCell ref="B78:B79"/>
    <mergeCell ref="A80:A81"/>
    <mergeCell ref="B80:B81"/>
    <mergeCell ref="A82:A83"/>
    <mergeCell ref="A68:A69"/>
    <mergeCell ref="B68:B69"/>
    <mergeCell ref="A72:A73"/>
    <mergeCell ref="A147:K147"/>
    <mergeCell ref="A84:A85"/>
    <mergeCell ref="B84:B85"/>
    <mergeCell ref="A86:K86"/>
    <mergeCell ref="A90:K90"/>
    <mergeCell ref="A91:K91"/>
    <mergeCell ref="A143:K143"/>
    <mergeCell ref="A111:K111"/>
    <mergeCell ref="B72:B73"/>
    <mergeCell ref="A62:A63"/>
    <mergeCell ref="B62:B63"/>
    <mergeCell ref="A64:A65"/>
    <mergeCell ref="B64:B65"/>
    <mergeCell ref="A66:A67"/>
    <mergeCell ref="B66:B67"/>
    <mergeCell ref="B56:B57"/>
    <mergeCell ref="A70:A71"/>
    <mergeCell ref="B70:B71"/>
    <mergeCell ref="A60:A61"/>
    <mergeCell ref="B60:B61"/>
    <mergeCell ref="A41:A42"/>
    <mergeCell ref="B41:B42"/>
    <mergeCell ref="A58:A59"/>
    <mergeCell ref="B58:B59"/>
    <mergeCell ref="A43:A44"/>
    <mergeCell ref="B43:B44"/>
    <mergeCell ref="A45:A46"/>
    <mergeCell ref="B45:B46"/>
    <mergeCell ref="A49:A50"/>
    <mergeCell ref="B49:B50"/>
    <mergeCell ref="A47:A48"/>
    <mergeCell ref="A51:A52"/>
    <mergeCell ref="A53:K53"/>
    <mergeCell ref="A54:A55"/>
    <mergeCell ref="B54:B55"/>
    <mergeCell ref="A56:A57"/>
    <mergeCell ref="A33:A34"/>
    <mergeCell ref="B33:B34"/>
    <mergeCell ref="A35:A36"/>
    <mergeCell ref="B35:B36"/>
    <mergeCell ref="A37:A38"/>
    <mergeCell ref="B37:B38"/>
    <mergeCell ref="A28:K28"/>
    <mergeCell ref="A12:K12"/>
    <mergeCell ref="A31:A32"/>
    <mergeCell ref="B31:B32"/>
    <mergeCell ref="A24:K24"/>
    <mergeCell ref="A39:A40"/>
    <mergeCell ref="B39:B40"/>
    <mergeCell ref="A1:K1"/>
    <mergeCell ref="A2:K2"/>
    <mergeCell ref="A3:A4"/>
    <mergeCell ref="B3:B4"/>
    <mergeCell ref="C3:C4"/>
    <mergeCell ref="D3:E3"/>
    <mergeCell ref="F3:G3"/>
    <mergeCell ref="H3:K3"/>
    <mergeCell ref="A14:K14"/>
    <mergeCell ref="A16:K16"/>
    <mergeCell ref="A19:K19"/>
    <mergeCell ref="A5:K5"/>
    <mergeCell ref="A29:A30"/>
    <mergeCell ref="B29:B30"/>
  </mergeCells>
  <pageMargins left="0.51181102362204722" right="0.51181102362204722" top="0.35433070866141736" bottom="0.35433070866141736" header="0" footer="0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Замима ба ҲҶТ тоҷикӣ (2)</vt:lpstr>
      <vt:lpstr>'Замима ба ҲҶТ тоҷикӣ (2)'!Заголовки_для_печати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Qonuniyat</cp:lastModifiedBy>
  <cp:lastPrinted>2022-08-01T05:17:55Z</cp:lastPrinted>
  <dcterms:created xsi:type="dcterms:W3CDTF">2014-02-06T09:23:48Z</dcterms:created>
  <dcterms:modified xsi:type="dcterms:W3CDTF">2022-08-08T05:52:11Z</dcterms:modified>
</cp:coreProperties>
</file>